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defaultThemeVersion="202300"/>
  <mc:AlternateContent xmlns:mc="http://schemas.openxmlformats.org/markup-compatibility/2006">
    <mc:Choice Requires="x15">
      <x15ac:absPath xmlns:x15ac="http://schemas.microsoft.com/office/spreadsheetml/2010/11/ac" url="/Users/jamestotten/Desktop/Parish Council Stuff /Finances/"/>
    </mc:Choice>
  </mc:AlternateContent>
  <xr:revisionPtr revIDLastSave="0" documentId="8_{E6C2389D-EEDF-D845-B4C7-5EEC5D2123CA}" xr6:coauthVersionLast="47" xr6:coauthVersionMax="47" xr10:uidLastSave="{00000000-0000-0000-0000-000000000000}"/>
  <bookViews>
    <workbookView xWindow="4420" yWindow="1660" windowWidth="24980" windowHeight="15900" xr2:uid="{B7377A4B-1445-FD49-9F83-69C73B2D5BCA}"/>
  </bookViews>
  <sheets>
    <sheet name="Sheet1" sheetId="1" r:id="rId1"/>
  </sheets>
  <externalReferences>
    <externalReference r:id="rId2"/>
  </externalReferenc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4" i="1" l="1"/>
  <c r="K112" i="1"/>
  <c r="K89" i="1"/>
  <c r="K92" i="1" s="1"/>
  <c r="K88" i="1"/>
  <c r="K76" i="1"/>
  <c r="C60" i="1"/>
  <c r="C62" i="1" s="1"/>
  <c r="D59" i="1"/>
  <c r="G59" i="1" s="1"/>
  <c r="D58" i="1"/>
  <c r="G58" i="1" s="1"/>
  <c r="D57" i="1"/>
  <c r="G57" i="1" s="1"/>
  <c r="J56" i="1"/>
  <c r="F56" i="1"/>
  <c r="F60" i="1" s="1"/>
  <c r="F62" i="1" s="1"/>
  <c r="E56" i="1"/>
  <c r="D56" i="1"/>
  <c r="E55" i="1"/>
  <c r="K105" i="1" s="1"/>
  <c r="D55" i="1"/>
  <c r="G55" i="1" s="1"/>
  <c r="G45" i="1"/>
  <c r="F45" i="1"/>
  <c r="E45" i="1"/>
  <c r="D45" i="1"/>
  <c r="C45" i="1"/>
  <c r="G44" i="1"/>
  <c r="J41" i="1"/>
  <c r="F41" i="1"/>
  <c r="E41" i="1"/>
  <c r="D41" i="1"/>
  <c r="C41" i="1"/>
  <c r="G40" i="1"/>
  <c r="G41" i="1" s="1"/>
  <c r="J37" i="1"/>
  <c r="C37" i="1"/>
  <c r="F36" i="1"/>
  <c r="F37" i="1" s="1"/>
  <c r="E36" i="1"/>
  <c r="E37" i="1" s="1"/>
  <c r="D36" i="1"/>
  <c r="G36" i="1" s="1"/>
  <c r="G37" i="1" s="1"/>
  <c r="F33" i="1"/>
  <c r="E33" i="1"/>
  <c r="C33" i="1"/>
  <c r="J32" i="1"/>
  <c r="D32" i="1"/>
  <c r="G32" i="1" s="1"/>
  <c r="J31" i="1"/>
  <c r="D31" i="1"/>
  <c r="G31" i="1" s="1"/>
  <c r="J28" i="1"/>
  <c r="F28" i="1"/>
  <c r="E28" i="1"/>
  <c r="D28" i="1"/>
  <c r="C28" i="1"/>
  <c r="G27" i="1"/>
  <c r="G28" i="1" s="1"/>
  <c r="C24" i="1"/>
  <c r="G23" i="1"/>
  <c r="J22" i="1"/>
  <c r="F22" i="1"/>
  <c r="E22" i="1"/>
  <c r="D22" i="1"/>
  <c r="D21" i="1"/>
  <c r="G21" i="1" s="1"/>
  <c r="G20" i="1"/>
  <c r="D19" i="1"/>
  <c r="G19" i="1" s="1"/>
  <c r="G18" i="1"/>
  <c r="K99" i="1" s="1"/>
  <c r="D18" i="1"/>
  <c r="D17" i="1"/>
  <c r="G17" i="1" s="1"/>
  <c r="J16" i="1"/>
  <c r="D16" i="1"/>
  <c r="G16" i="1" s="1"/>
  <c r="J15" i="1"/>
  <c r="F15" i="1"/>
  <c r="E15" i="1"/>
  <c r="D15" i="1"/>
  <c r="G15" i="1" s="1"/>
  <c r="D14" i="1"/>
  <c r="G14" i="1" s="1"/>
  <c r="D13" i="1"/>
  <c r="G13" i="1" s="1"/>
  <c r="F12" i="1"/>
  <c r="E12" i="1"/>
  <c r="D12" i="1"/>
  <c r="D11" i="1"/>
  <c r="F11" i="1" s="1"/>
  <c r="G10" i="1"/>
  <c r="D9" i="1"/>
  <c r="G9" i="1" s="1"/>
  <c r="G8" i="1"/>
  <c r="J7" i="1"/>
  <c r="D7" i="1"/>
  <c r="G7" i="1" s="1"/>
  <c r="J24" i="1" l="1"/>
  <c r="D37" i="1"/>
  <c r="G12" i="1"/>
  <c r="C47" i="1"/>
  <c r="E60" i="1"/>
  <c r="E62" i="1" s="1"/>
  <c r="G33" i="1"/>
  <c r="J33" i="1"/>
  <c r="D60" i="1"/>
  <c r="D62" i="1" s="1"/>
  <c r="D33" i="1"/>
  <c r="K109" i="1"/>
  <c r="K110" i="1" s="1"/>
  <c r="G22" i="1"/>
  <c r="E24" i="1"/>
  <c r="E47" i="1" s="1"/>
  <c r="K116" i="1"/>
  <c r="K113" i="1"/>
  <c r="F24" i="1"/>
  <c r="F47" i="1" s="1"/>
  <c r="G11" i="1"/>
  <c r="K93" i="1" s="1"/>
  <c r="K71" i="1"/>
  <c r="J55" i="1"/>
  <c r="D24" i="1"/>
  <c r="D47" i="1" s="1"/>
  <c r="K95" i="1"/>
  <c r="G56" i="1"/>
  <c r="G60" i="1" s="1"/>
  <c r="G62" i="1" s="1"/>
  <c r="K106" i="1" l="1"/>
  <c r="K107" i="1" s="1"/>
  <c r="K111" i="1" s="1"/>
  <c r="K115" i="1" s="1"/>
  <c r="K82" i="1"/>
  <c r="K81" i="1"/>
  <c r="J44" i="1"/>
  <c r="K72" i="1"/>
  <c r="K73" i="1" s="1"/>
  <c r="K96" i="1"/>
  <c r="K83" i="1"/>
  <c r="G24" i="1"/>
  <c r="G47" i="1" s="1"/>
  <c r="K98" i="1" l="1"/>
  <c r="K97" i="1"/>
  <c r="K74" i="1"/>
  <c r="K75" i="1" s="1"/>
  <c r="K77" i="1" s="1"/>
  <c r="J45" i="1"/>
  <c r="J47" i="1" s="1"/>
  <c r="K66" i="1" s="1"/>
  <c r="J57" i="1" l="1"/>
  <c r="K78" i="1" l="1"/>
  <c r="J60" i="1"/>
  <c r="J62" i="1" s="1"/>
  <c r="K67" i="1" s="1"/>
  <c r="K68" i="1" s="1"/>
</calcChain>
</file>

<file path=xl/sharedStrings.xml><?xml version="1.0" encoding="utf-8"?>
<sst xmlns="http://schemas.openxmlformats.org/spreadsheetml/2006/main" count="246" uniqueCount="159">
  <si>
    <t>PAYMENTS</t>
  </si>
  <si>
    <t>Budget 2027-2028 (DRAFT)</t>
  </si>
  <si>
    <t>LEGAL REFERENCES</t>
  </si>
  <si>
    <t>Pale yellow cells = need your confirmation (no bank evidence, or a judgement call). Apr-Sept 2026 actuals are formulas from the "Bank transactions" sheet.</t>
  </si>
  <si>
    <t>Forecasted Final Position 2026-2027</t>
  </si>
  <si>
    <t>Legal references added 20 Oct 2026 for each line. * = less certain, depends on the circumstances. The Clerk should check these against NCALC/NALC guidance and the council's own Financial Regulations before the budget is published.</t>
  </si>
  <si>
    <t>2026-2027</t>
  </si>
  <si>
    <t>Apr - Sept</t>
  </si>
  <si>
    <t>- - - - - - - - - Forecast - - - - - - - - -</t>
  </si>
  <si>
    <t>2027-2028</t>
  </si>
  <si>
    <t>Administration</t>
  </si>
  <si>
    <t>Budget</t>
  </si>
  <si>
    <t>Actual</t>
  </si>
  <si>
    <t>Q3 Oct- Dec</t>
  </si>
  <si>
    <t>Q4 Jan - March</t>
  </si>
  <si>
    <t>TOTAL</t>
  </si>
  <si>
    <t>Proposed Budget</t>
  </si>
  <si>
    <t>Comments</t>
  </si>
  <si>
    <t>Legal power / reference</t>
  </si>
  <si>
    <t>Clerk salary (contingency, qualified CiLCA clerk)</t>
  </si>
  <si>
    <t>Contingency in case the current clerk leaves and a paid clerk is appointed: 3 hrs/wk x 52 wks x SCP 24 £18.96 ph (1 April 2026 NJC rate; SCP 24 is the bottom of the LC2 benchmark range for a CiLCA-qualified clerk) = £2,957.76, before any pay award from 1 April 2027. The current clerk is not taking a salary (LGA 1972 s.116), so this is spent only if a paid clerk is needed. Apr-Jul 2026 actual = previous postholder's net wages (last paid 30 July).</t>
  </si>
  <si>
    <t>LGA 1972 s.112 (appointment of staff and pay); s.116 (no paid appointment of a former member for 12 months); s.111 (subsidiary powers)</t>
  </si>
  <si>
    <t>Clerks cost of living award</t>
  </si>
  <si>
    <t>Not carried forward as a separate line - any pay award is built into the clerk salary line.</t>
  </si>
  <si>
    <t>LGA 1972 s.112; NALC/SLCC national pay agreement (not carried forward)</t>
  </si>
  <si>
    <t>Employers NI / PAYE paid to HMRC</t>
  </si>
  <si>
    <t>Apr-Sep actual is one HMRC payment on 4 Sept (£191.40). Contingency only: employer NI is likely nil at 3 hrs/wk; £60 kept in case a paid clerk is appointed.</t>
  </si>
  <si>
    <t>Income Tax (PAYE) Regulations 2003 (SI 2003/2682); Social Security Contributions and Benefits Act 1992; LGA 1972 s.112</t>
  </si>
  <si>
    <t>Stationery, office expenses, postage, Misc Office</t>
  </si>
  <si>
    <t>£20 per quarter (confirmed 20 Oct 2026). No stationery payments in the bank statements from Apr 2025 to Oct 2026 shown here for 2026/27; Q3 and Q4 each £20. 2027/28 = 4 x £20 = £80.</t>
  </si>
  <si>
    <t>LGA 1972 s.111 (subsidiary powers)</t>
  </si>
  <si>
    <t>Course fees</t>
  </si>
  <si>
    <t>Staff training / course fees set at £200 for 2026/27 in total (confirmed 20 Oct 2026): £63.60 NCALC paid Aug 2026 plus £136.40 still to come in Q4. 2027/28 £300 unchanged (clerk and councillor training). Unspent budget (£500 less £200) is shown as a possible one-off transfer to reserves below.</t>
  </si>
  <si>
    <t>LGA 1972 s.111 (training of members and staff); s.112 (staff)</t>
  </si>
  <si>
    <t>Website &amp; internet costs</t>
  </si>
  <si>
    <t>HugoFox direct debits £23.99 + £20.99 per month = £539.76 a year (2026/27 budget assumed £605 + VAT). .gov.uk domain renewal not seen in the bank statement - check.</t>
  </si>
  <si>
    <t>LGA 1972 s.111; Transparency Code for Smaller Authorities; Public Sector Bodies (Websites and Mobile Applications) Accessibility Regulations 2018 (SI 2018/952)</t>
  </si>
  <si>
    <t>Audit fees (external audit only; internal audit is in the NCALC subscription)</t>
  </si>
  <si>
    <t>2026/27: the internal audit is already paid. NCALC invoice INV-5374 (issued 1 Apr 2026, paid 18 May 2026, £486.22) includes the Internal Audit Service (Band 2) at £240.24 + VAT £48.05 = £288.29. That amount is shown here as the Apr-Sep actual and taken out of subscriptions; the earlier £355.88 Q3 placeholder is removed. 2027/28: nil. The internal audit is already inside the NCALC subscription line (about £288 of it), so it is not repeated here. No external audit fee is budgeted because it depends on the result of the internal audit; if one is needed, add the fee notice amount here or meet it from the general reserve.</t>
  </si>
  <si>
    <t>Accounts and Audit Regulations 2015 (SI 2015/234) reg 5 (internal audit); Local Audit and Accountability Act 2014; Local Audit (Smaller Authorities) Regulations 2015 (SI 2015/184)</t>
  </si>
  <si>
    <t>Annual insurance</t>
  </si>
  <si>
    <t>Estimate £450. Last premium paid £300 (Zurich, Jun 2026; the Jul 2025 payment was the 2025/26 premium). Renewal expected to be higher because the council has had a claim. Replace with the renewal quote when received.</t>
  </si>
  <si>
    <t>LGA 1972 s.111; Accounts and Audit Regulations 2015 reg 3 (risk management and internal control)</t>
  </si>
  <si>
    <t>Monthly banking charges</t>
  </si>
  <si>
    <t>Service charge is £7.00 per month (up from £6.00 in Mar 2026). The 2026/27 budget assumed £8.50 per month. Shown in full as a payment: bank charges must not be netted off against bank interest (see the interest line in Receipts).</t>
  </si>
  <si>
    <t>Local Government Act 1972 s.151 (arrangements for the proper administration of financial affairs)</t>
  </si>
  <si>
    <t>Annual subscriptions, NCALC, SLCC, DPO, ICO</t>
  </si>
  <si>
    <t>NCALC invoice INV-5374 £486.22 paid 18 May 2026: membership £169.00, NALC £14.53, DPO £12.00 + VAT £2.40 and the Internal Audit Service £288.29 (shown on the audit line). Subscriptions here therefore show £197.93 from that invoice, plus ICO £47 each November. 2027/28 = the full NCALC invoice of £486.22 plus 5%, plus ICO; this includes next year's internal audit (about £288). SLCC membership not seen in the bank statement.</t>
  </si>
  <si>
    <t>LGA 1972 s.143 (subscriptions to local authority associations); Data Protection (Charges and Information) Regulations 2018 (SI 2018/480) for the ICO fee</t>
  </si>
  <si>
    <t>Defibrillator</t>
  </si>
  <si>
    <t>Community Heartbeat £98.34 paid May 2026. Pads due for replacement in 2027.</t>
  </si>
  <si>
    <t>Public Health Act 1936 s.234 (as advised); LGA 1972 s.137 (general power of expenditure) as a fallback*</t>
  </si>
  <si>
    <t>Election costs</t>
  </si>
  <si>
    <t>Annual set-aside towards the election reserve. NNC Elections charged £1,425.60 in Feb 2026 (a second identical payment was refunded in May 2026), so £400 pa builds a reserve slowly - review.</t>
  </si>
  <si>
    <t>Representation of the People Act 1983 s.36 and the Local Elections (Parishes and Communities) (England and Wales) Rules 2006 (SI 2006/3305) for election expenses*; reserve under LGFA 1992 s.42A</t>
  </si>
  <si>
    <t>Sundry items</t>
  </si>
  <si>
    <t>Miscellaneous. Nothing paid in 2026/27 to date. Unchanged.</t>
  </si>
  <si>
    <t>Local Government Act 1972 s.111 (subsidiary powers)</t>
  </si>
  <si>
    <t>British Legion Poppy wreath</t>
  </si>
  <si>
    <t>No wreath payment seen in the bank statement last year. Q3 assumes paid in November.</t>
  </si>
  <si>
    <t>Local Government Act 1972 s.137(1)</t>
  </si>
  <si>
    <t>Payroll service</t>
  </si>
  <si>
    <t>Removed for 2027/28: the clerk is not being paid, so no payroll service is needed. Apr-Jun 2026 actual (£54) was DCK Payroll for the previous postholder.</t>
  </si>
  <si>
    <t>LGA 1972 s.112; PAYE Regulations 2003 (SI 2003/2682)</t>
  </si>
  <si>
    <t>Meeting room hire</t>
  </si>
  <si>
    <t>Three meetings left in 2026/27 at £40 (Northants Guides, Macqueen House): November in Q3, January and March in Q4 = £120 (updated 20 Oct 2026). From April 2027 the council proposes to move to St Nicholas Church, paid either £20 per meeting or as a lump sum so the church can be used as and when needed. 2027/28 is budgeted at 12 meetings x £20 = £240, which works for either option - if a lump sum is agreed, replace this figure with the agreed amount.</t>
  </si>
  <si>
    <t>Local Government Act 1972 s.133 (meetings of local authorities: use of premises)</t>
  </si>
  <si>
    <t>Legal fees (employment matter)</t>
  </si>
  <si>
    <t>Nil: legal expenses for the employment matter are covered by the council's insurance. No policy excess. Insurers have been notified.</t>
  </si>
  <si>
    <t>LGA 1972 s.111; insurance cover under the council's policy</t>
  </si>
  <si>
    <t>SUB TOTAL</t>
  </si>
  <si>
    <t>Allotments</t>
  </si>
  <si>
    <t>Allotment maintenance</t>
  </si>
  <si>
    <t>Contingency sum allocated. Unchanged.</t>
  </si>
  <si>
    <t>Small Holdings and Allotments Act 1908 s.23; Allotments Act 1950</t>
  </si>
  <si>
    <t>Village amenities</t>
  </si>
  <si>
    <t>Hedge cutting (G W Watts)</t>
  </si>
  <si>
    <t>£1,200 for hedges and verges in 2026/27 (confirmed 20 Oct 2026; last year G W Watts hedge cutting was £702 paid 2 Mar 2026). Timing assumed Q4. 2027/28 = £1,200 plus 3% - to confirm.</t>
  </si>
  <si>
    <t>Highways Act 1980 s.96* (verges and hedges on highway land); otherwise LGA 1972 s.137. Depends on who owns the land - confirm</t>
  </si>
  <si>
    <t>Christmas tree</t>
  </si>
  <si>
    <t>£250 in Q3 (confirmed 20 Oct 2026; Digby Farm charged £202 in Nov 2025). 2027/28 = £250 plus 3%.</t>
  </si>
  <si>
    <t>Local Government Act 1972 s.145 (provision of entertainments)</t>
  </si>
  <si>
    <t>Public lighting</t>
  </si>
  <si>
    <t>Unmetered electricity supply</t>
  </si>
  <si>
    <t>YU Energy direct debit. Q3 = 8 Oct actual £36.80 plus Nov/Dec at last year's bills; Q4 = last year's Jan-Mar bills. Last 12 months £473.95. The 46-month contract from Nov 2022 ends about Sept 2026, so +10% allowed for new rates.</t>
  </si>
  <si>
    <t>Parish Councils Act 1957 s.3 (lighting of roads and public places)</t>
  </si>
  <si>
    <t>Grass cutting to footpaths NP2 &amp; NP3</t>
  </si>
  <si>
    <t>Removed 20 Oct 2026: Twywell does not have footpaths NP2 and NP3 (the line came from the starting sheet). Nil in 2026/27 and 2027/28. Rows hidden.</t>
  </si>
  <si>
    <t>Reserves</t>
  </si>
  <si>
    <t>Contribution to reserves (Build Reserves)</t>
  </si>
  <si>
    <t>Yearly transfer from the precept to the reserve account. Draft sets it so the general reserve reaches 6 months of general payments in three years: (half of general payments less the general reserve of £3,168) / 3. The audit reports say reserves are too low. Reserves policy v2 sets a 3-month minimum by March 2028 and a 6-month target by March 2030. Unspent 2026/27 training, gates and clerk salary money, if also moved to reserves by council resolution, would more than close that gap on its own (see the summary below). Council to decide the amount.</t>
  </si>
  <si>
    <t>Local Government Finance Act 1992 s.42A (allowance for contingencies and financial reserves in the budget requirement); council Reserves Policy (Feb 2026)</t>
  </si>
  <si>
    <t>TOTAL PAYMENTS</t>
  </si>
  <si>
    <t>RECEIPTS</t>
  </si>
  <si>
    <t>Receipts</t>
  </si>
  <si>
    <t>VAT Refund</t>
  </si>
  <si>
    <t>Apr-Sep actual: two HMRC repayments in April 2026 (£1,096.50 + £475.78) - mostly the 2025/26 year-end claim. Q3 = mid-year claim, 1/6 of VAT-inclusive spend (20%). 2027/28 = 1/6 of VAT-able spend in this sheet.</t>
  </si>
  <si>
    <t>Value Added Tax Act 1994 s.33 (refund of VAT to local authorities)</t>
  </si>
  <si>
    <t>Interest on reserve account</t>
  </si>
  <si>
    <t>Credit interest on the reserve account, paid quarterly (£21.02 on 30 Jun and £21.35 on 30 Sep 2026). Forecast repeats the September amount each quarter; 2027/28 is four quarters at £21.35. Rises if the reserve is built up. AGAR reporting: Interest received on deposit or reserve bank accounts is classed as self-generated income and must be reported under Line 3 ("Total other receipts") on Section 2 of the AGAR. Bank interest income must not be netted off against bank charges.</t>
  </si>
  <si>
    <t>LGA 1972 s.111; AGAR Section 2 Line 3 ("Total other receipts") - interest is self-generated income and is not netted off against bank charges</t>
  </si>
  <si>
    <t>Allotment rent</t>
  </si>
  <si>
    <t>RING-FENCED for allotments. Q3 and Q4 repeat last year's receipts (Q3 £121; £260.40 paid in late March). 2027/28 = new rents per the Allotment rents tab: £1.40 per pole + 20% (agreed 18 March 2026) = £1.68 per pole, minimum £25 per plot. Assumes all plots let and rents paid in full.</t>
  </si>
  <si>
    <t>Small Holdings and Allotments Act 1908 s.23; Allotments Act 1950; ring-fenced for allotments</t>
  </si>
  <si>
    <t>Refund of duplicate election payment (one-off)</t>
  </si>
  <si>
    <t>NNC refunded £1,425.60 on 15 May 2026 - a duplicate of the Feb 2026 payment. One-off.</t>
  </si>
  <si>
    <t>n/a - one-off refund</t>
  </si>
  <si>
    <t>Precept</t>
  </si>
  <si>
    <t>2026/27 precept received was £10,002.56 (2025/26: £16,743.00). The 2027/28 figure is a placeholder equal to this year - council to set; see the precept check below.</t>
  </si>
  <si>
    <t>Local Government Finance Act 1992 s.41 (precepts by local precepting authorities) and s.42A (budget requirement)</t>
  </si>
  <si>
    <t>TOTAL RECEIPTS</t>
  </si>
  <si>
    <t>Summary 2027-2028</t>
  </si>
  <si>
    <t>Budgeted payments 27.28</t>
  </si>
  <si>
    <t>Budgeted income 27.28 (incl. precept)</t>
  </si>
  <si>
    <t>Difference to inform on precept discussion</t>
  </si>
  <si>
    <t>Precept check (allotment rent is ring-fenced)</t>
  </si>
  <si>
    <t>General payments (excluding allotment maintenance and the reserves contribution)</t>
  </si>
  <si>
    <t>General income excluding precept (VAT refund, interest)</t>
  </si>
  <si>
    <t>Precept needed to cover running costs</t>
  </si>
  <si>
    <t>Precept needed including the reserves contribution</t>
  </si>
  <si>
    <t>Proposed precept (from table above)</t>
  </si>
  <si>
    <t>Surplus / (shortfall) against the precept needed</t>
  </si>
  <si>
    <t>Allotment account: rent less maintenance (ring-fenced)</t>
  </si>
  <si>
    <t>Reserves policy check (general reserve 3-12 months)</t>
  </si>
  <si>
    <t>General reserve target - 3 months of general payments</t>
  </si>
  <si>
    <t>General reserve target - 12 months of general payments</t>
  </si>
  <si>
    <t>General reserve held covers (months)</t>
  </si>
  <si>
    <t>Reserves (figures to be confirmed)</t>
  </si>
  <si>
    <t>Current account balance 19 Oct 2026 (bank reconciled)</t>
  </si>
  <si>
    <t>Reserve account balance 30 Sep 2026</t>
  </si>
  <si>
    <t>Reserves at 31 Mar 2026: current account £2,202.79 + reserve account £4,322.73</t>
  </si>
  <si>
    <t>*General reserve (Sept precept paper: £6,501.18 less earmarked and ring-fenced)</t>
  </si>
  <si>
    <t>Earmarked reserve for works</t>
  </si>
  <si>
    <t>Ring-fenced allotment reserve</t>
  </si>
  <si>
    <t>Total reserves</t>
  </si>
  <si>
    <t>One-off transfer to reserves: unspent 2026/27 course fees (budget less forecast)</t>
  </si>
  <si>
    <t>One-off transfer to reserves: village gates money - NOT added to the general reserve (already in the £2,700 earmarked reserve above)</t>
  </si>
  <si>
    <t>One-off transfer to reserves: unspent clerk salary 2026/27 (budget less forecast; clerk not drawing pay)</t>
  </si>
  <si>
    <t>General reserve after the one-off transfers</t>
  </si>
  <si>
    <t>Covers (months of general payments)</t>
  </si>
  <si>
    <t>General reserve after the one-off transfers and three years of the precept contribution</t>
  </si>
  <si>
    <t>One-off transfer to earmarked reserve: election costs (2026/27 budget less forecast)</t>
  </si>
  <si>
    <t>Reserves at 31 March 2026 across the two accounts (£6,525.52) agree to the £6,525 in the 2025/26 AGAR; the reserve account figure is its 30 June balance less that quarter's interest, assuming no other movements. The general, earmarked and ring-fenced split comes from the September precept paper and still needs agreeing to the cashbook and minuting.</t>
  </si>
  <si>
    <t>*General reserves in line with SAPPP 2025 paras 5.33-5.37 state "The generally accepted recommendation with regard to the appropriate minimum level of a smaller authority's general reserve is that this should be maintained at between three and twelve months of net revenue expenditure"</t>
  </si>
  <si>
    <t>Year-end cash forecast 31 March 2027 (added 20 Oct 2026)</t>
  </si>
  <si>
    <t>Current account balance 30 Sep 2026 (per bank statement)</t>
  </si>
  <si>
    <t>Add: Q3 + Q4 forecast receipts into the current account (VAT refund, allotment rent)</t>
  </si>
  <si>
    <t>Less: Q3 + Q4 forecast payments</t>
  </si>
  <si>
    <t>Forecast current account 31 Mar 2027</t>
  </si>
  <si>
    <t>Reserve account balance 30 Sep 2026 (per bank statement)</t>
  </si>
  <si>
    <t>Add: forecast interest Q3 + Q4</t>
  </si>
  <si>
    <t>Forecast reserve account 31 Mar 2027</t>
  </si>
  <si>
    <t>Forecast total cash 31 Mar 2027</t>
  </si>
  <si>
    <t>Less: earmarked reserves - gates £1,200 and tree cutting on the Green £1,500</t>
  </si>
  <si>
    <t>Less: earmarked reserve - election costs</t>
  </si>
  <si>
    <t>Less: ring-fenced allotment reserve</t>
  </si>
  <si>
    <t>Forecast free cash (available for the general reserve)</t>
  </si>
  <si>
    <t>Total earmarked at 31 Mar 2027 (gates, tree cutting, election)</t>
  </si>
  <si>
    <t>Free cash is current account plus reserve account less the earmarked and ring-fenced amounts. It starts from the 30 Sep statement balances so nothing already paid in October is counted twice. It will differ from the "General reserve after the one-off transfers" figure above, which starts from the September precept 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</si>
</sst>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0.0"/>
    <numFmt numFmtId="166" formatCode="\£#,##0.00"/>
  </numFmts>
  <fonts count="22" x14ac:knownFonts="1">
    <font>
      <sz val="12"/>
      <color theme="1"/>
      <name val="Aptos Narrow"/>
      <family val="2"/>
      <scheme val="minor"/>
    </font>
    <font>
      <b/>
      <sz val="20"/>
      <color rgb="FF000000"/>
      <name val="Century Gothic"/>
      <family val="2"/>
      <charset val="1"/>
    </font>
    <font>
      <b/>
      <sz val="24"/>
      <color rgb="FFFF0000"/>
      <name val="Century Gothic"/>
      <family val="2"/>
      <charset val="1"/>
    </font>
    <font>
      <i/>
      <sz val="8"/>
      <name val="Century Gothic"/>
      <family val="1"/>
    </font>
    <font>
      <b/>
      <sz val="10"/>
      <color rgb="FF000000"/>
      <name val="Century Gothic"/>
      <family val="2"/>
      <charset val="1"/>
    </font>
    <font>
      <sz val="10"/>
      <color rgb="FF000000"/>
      <name val="Century Gothic"/>
      <family val="2"/>
      <charset val="1"/>
    </font>
    <font>
      <i/>
      <sz val="9"/>
      <name val="Calibri"/>
      <family val="2"/>
    </font>
    <font>
      <b/>
      <sz val="10"/>
      <color theme="0"/>
      <name val="Century Gothic"/>
      <family val="2"/>
      <charset val="1"/>
    </font>
    <font>
      <sz val="10"/>
      <color theme="1"/>
      <name val="Century Gothic"/>
      <family val="2"/>
      <charset val="1"/>
    </font>
    <font>
      <sz val="10"/>
      <name val="Century Gothic"/>
      <family val="2"/>
      <charset val="1"/>
    </font>
    <font>
      <sz val="10"/>
      <name val="Century Gothic"/>
      <family val="1"/>
    </font>
    <font>
      <b/>
      <sz val="10"/>
      <color theme="1"/>
      <name val="Century Gothic"/>
      <family val="2"/>
      <charset val="1"/>
    </font>
    <font>
      <b/>
      <sz val="18"/>
      <color rgb="FF000000"/>
      <name val="Century Gothic"/>
      <family val="2"/>
      <charset val="1"/>
    </font>
    <font>
      <b/>
      <u/>
      <sz val="11"/>
      <color rgb="FF000000"/>
      <name val="Century Gothic"/>
      <family val="2"/>
      <charset val="1"/>
    </font>
    <font>
      <sz val="11"/>
      <color rgb="FF000000"/>
      <name val="Century Gothic"/>
      <family val="2"/>
      <charset val="1"/>
    </font>
    <font>
      <sz val="8"/>
      <color rgb="FF000000"/>
      <name val="Century Gothic"/>
      <family val="2"/>
      <charset val="1"/>
    </font>
    <font>
      <sz val="11"/>
      <name val="Century Gothic"/>
      <family val="1"/>
    </font>
    <font>
      <b/>
      <sz val="11"/>
      <name val="Century Gothic"/>
      <family val="1"/>
    </font>
    <font>
      <b/>
      <u/>
      <sz val="10"/>
      <name val="Century Gothic"/>
      <family val="2"/>
      <charset val="1"/>
    </font>
    <font>
      <sz val="8"/>
      <name val="Century Gothic"/>
      <family val="1"/>
    </font>
    <font>
      <b/>
      <sz val="10"/>
      <name val="Century Gothic"/>
      <family val="1"/>
    </font>
    <font>
      <b/>
      <sz val="8"/>
      <name val="Century Gothic"/>
      <family val="1"/>
    </font>
  </fonts>
  <fills count="12">
    <fill>
      <patternFill patternType="none"/>
    </fill>
    <fill>
      <patternFill patternType="gray125"/>
    </fill>
    <fill>
      <patternFill patternType="solid">
        <fgColor rgb="FFFFFF00"/>
        <bgColor rgb="FFFFFF00"/>
      </patternFill>
    </fill>
    <fill>
      <patternFill patternType="solid">
        <fgColor rgb="FFFCE4D6"/>
      </patternFill>
    </fill>
    <fill>
      <patternFill patternType="solid">
        <fgColor theme="0"/>
        <bgColor rgb="FFFFF2CC"/>
      </patternFill>
    </fill>
    <fill>
      <patternFill patternType="solid">
        <fgColor theme="1"/>
        <bgColor rgb="FF003300"/>
      </patternFill>
    </fill>
    <fill>
      <patternFill patternType="solid">
        <fgColor rgb="FFFFF2CC"/>
        <bgColor rgb="FFE2F0D9"/>
      </patternFill>
    </fill>
    <fill>
      <patternFill patternType="solid">
        <fgColor rgb="FFDEEAF6"/>
        <bgColor rgb="FFDAE3F3"/>
      </patternFill>
    </fill>
    <fill>
      <patternFill patternType="solid">
        <fgColor theme="4" tint="0.79989013336588644"/>
        <bgColor rgb="FFDEEAF6"/>
      </patternFill>
    </fill>
    <fill>
      <patternFill patternType="solid">
        <fgColor rgb="FFC5E0B3"/>
        <bgColor rgb="FFC5E0B4"/>
      </patternFill>
    </fill>
    <fill>
      <patternFill patternType="solid">
        <fgColor theme="9" tint="0.59987182226020086"/>
        <bgColor rgb="FFC5E0B3"/>
      </patternFill>
    </fill>
    <fill>
      <patternFill patternType="solid">
        <fgColor theme="9" tint="0.79989013336588644"/>
        <bgColor rgb="FFDEEAF6"/>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right/>
      <top style="thin">
        <color auto="1"/>
      </top>
      <bottom style="thin">
        <color auto="1"/>
      </bottom>
      <diagonal/>
    </border>
  </borders>
  <cellStyleXfs count="1">
    <xf numFmtId="0" fontId="0" fillId="0" borderId="0"/>
  </cellStyleXfs>
  <cellXfs count="76">
    <xf numFmtId="0" fontId="0" fillId="0" borderId="0" xfId="0"/>
    <xf numFmtId="0" fontId="1" fillId="0" borderId="0" xfId="0" applyFont="1" applyAlignment="1">
      <alignment vertical="top"/>
    </xf>
    <xf numFmtId="0" fontId="2" fillId="0" borderId="0" xfId="0" applyFont="1" applyAlignment="1">
      <alignment horizontal="center" vertical="top"/>
    </xf>
    <xf numFmtId="0" fontId="0" fillId="0" borderId="0" xfId="0"/>
    <xf numFmtId="0" fontId="1" fillId="0" borderId="0" xfId="0" applyFont="1"/>
    <xf numFmtId="0" fontId="3" fillId="0" borderId="0" xfId="0" applyFont="1" applyAlignment="1">
      <alignment vertical="top" wrapText="1"/>
    </xf>
    <xf numFmtId="0" fontId="4" fillId="2" borderId="0" xfId="0" applyFont="1" applyFill="1" applyAlignment="1">
      <alignment vertical="top"/>
    </xf>
    <xf numFmtId="0" fontId="5" fillId="2" borderId="0" xfId="0" applyFont="1" applyFill="1" applyAlignment="1">
      <alignment vertical="top"/>
    </xf>
    <xf numFmtId="0" fontId="6" fillId="3" borderId="0" xfId="0" applyFont="1" applyFill="1" applyAlignment="1">
      <alignment vertical="top" wrapText="1"/>
    </xf>
    <xf numFmtId="4" fontId="5" fillId="0" borderId="1" xfId="0" applyNumberFormat="1" applyFont="1" applyBorder="1" applyAlignment="1">
      <alignment vertical="top"/>
    </xf>
    <xf numFmtId="0" fontId="4" fillId="0" borderId="1" xfId="0" applyFont="1" applyBorder="1" applyAlignment="1">
      <alignment horizontal="center" vertical="center"/>
    </xf>
    <xf numFmtId="0" fontId="4" fillId="4" borderId="1" xfId="0" applyFont="1" applyFill="1" applyBorder="1" applyAlignment="1">
      <alignment horizontal="center" vertical="center"/>
    </xf>
    <xf numFmtId="0" fontId="4" fillId="0" borderId="1" xfId="0" applyFont="1" applyBorder="1" applyAlignment="1">
      <alignment horizontal="center" vertical="center"/>
    </xf>
    <xf numFmtId="0" fontId="0" fillId="0" borderId="2" xfId="0" applyBorder="1"/>
    <xf numFmtId="0" fontId="5" fillId="5" borderId="3" xfId="0" applyFont="1" applyFill="1" applyBorder="1" applyAlignment="1">
      <alignment vertical="top"/>
    </xf>
    <xf numFmtId="0" fontId="4" fillId="0" borderId="4" xfId="0" applyFont="1" applyBorder="1" applyAlignment="1">
      <alignment horizontal="center" vertical="top"/>
    </xf>
    <xf numFmtId="0" fontId="5" fillId="0" borderId="1" xfId="0" applyFont="1" applyBorder="1" applyAlignment="1">
      <alignment vertical="top"/>
    </xf>
    <xf numFmtId="0" fontId="4" fillId="0" borderId="1" xfId="0" applyFont="1" applyBorder="1" applyAlignment="1">
      <alignment horizontal="left"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5" borderId="0" xfId="0" applyFont="1" applyFill="1" applyAlignment="1">
      <alignment horizontal="center" vertical="top"/>
    </xf>
    <xf numFmtId="0" fontId="4" fillId="0" borderId="0" xfId="0" applyFont="1" applyAlignment="1">
      <alignment horizontal="center" vertical="top"/>
    </xf>
    <xf numFmtId="0" fontId="7" fillId="5" borderId="1" xfId="0" applyFont="1" applyFill="1" applyBorder="1" applyAlignment="1">
      <alignment horizontal="center" vertical="center"/>
    </xf>
    <xf numFmtId="0" fontId="8" fillId="0" borderId="5" xfId="0" applyFont="1" applyBorder="1" applyAlignment="1">
      <alignment vertical="center" wrapText="1"/>
    </xf>
    <xf numFmtId="164" fontId="8" fillId="4" borderId="1" xfId="0" applyNumberFormat="1" applyFont="1" applyFill="1" applyBorder="1" applyAlignment="1">
      <alignment horizontal="right" vertical="center"/>
    </xf>
    <xf numFmtId="164" fontId="5" fillId="0" borderId="5" xfId="0" applyNumberFormat="1" applyFont="1" applyBorder="1" applyAlignment="1">
      <alignment horizontal="right" vertical="center"/>
    </xf>
    <xf numFmtId="164" fontId="5" fillId="4" borderId="5" xfId="0" applyNumberFormat="1" applyFont="1" applyFill="1" applyBorder="1" applyAlignment="1">
      <alignment horizontal="right" vertical="center"/>
    </xf>
    <xf numFmtId="164" fontId="5" fillId="4" borderId="1" xfId="0" applyNumberFormat="1" applyFont="1" applyFill="1" applyBorder="1" applyAlignment="1">
      <alignment horizontal="right" vertical="center"/>
    </xf>
    <xf numFmtId="4" fontId="5" fillId="5" borderId="6" xfId="0" applyNumberFormat="1" applyFont="1" applyFill="1" applyBorder="1" applyAlignment="1">
      <alignment vertical="top"/>
    </xf>
    <xf numFmtId="164" fontId="8" fillId="6" borderId="7" xfId="0" applyNumberFormat="1" applyFont="1" applyFill="1" applyBorder="1" applyAlignment="1">
      <alignment horizontal="right" vertical="center"/>
    </xf>
    <xf numFmtId="0" fontId="9" fillId="0" borderId="8" xfId="0" applyFont="1" applyBorder="1" applyAlignment="1">
      <alignment horizontal="left" vertical="center" wrapText="1"/>
    </xf>
    <xf numFmtId="0" fontId="10" fillId="0" borderId="0" xfId="0" applyFont="1" applyAlignment="1">
      <alignment vertical="top" wrapText="1"/>
    </xf>
    <xf numFmtId="164" fontId="8" fillId="4" borderId="7" xfId="0" applyNumberFormat="1" applyFont="1" applyFill="1" applyBorder="1" applyAlignment="1">
      <alignment horizontal="right" vertical="center"/>
    </xf>
    <xf numFmtId="164" fontId="5" fillId="3" borderId="5" xfId="0" applyNumberFormat="1" applyFont="1" applyFill="1" applyBorder="1" applyAlignment="1">
      <alignment horizontal="right" vertical="center"/>
    </xf>
    <xf numFmtId="164" fontId="8" fillId="3" borderId="7" xfId="0" applyNumberFormat="1" applyFont="1" applyFill="1" applyBorder="1" applyAlignment="1">
      <alignment horizontal="right" vertical="center"/>
    </xf>
    <xf numFmtId="0" fontId="8" fillId="3" borderId="5" xfId="0" applyFont="1" applyFill="1" applyBorder="1" applyAlignment="1">
      <alignment vertical="center" wrapText="1"/>
    </xf>
    <xf numFmtId="0" fontId="9" fillId="3" borderId="8" xfId="0" applyFont="1" applyFill="1" applyBorder="1" applyAlignment="1">
      <alignment horizontal="left" vertical="center" wrapText="1"/>
    </xf>
    <xf numFmtId="164" fontId="5" fillId="6" borderId="5" xfId="0" applyNumberFormat="1" applyFont="1" applyFill="1" applyBorder="1" applyAlignment="1">
      <alignment horizontal="right" vertical="center"/>
    </xf>
    <xf numFmtId="0" fontId="11" fillId="7" borderId="9" xfId="0" applyFont="1" applyFill="1" applyBorder="1" applyAlignment="1">
      <alignment vertical="top"/>
    </xf>
    <xf numFmtId="164" fontId="4" fillId="7" borderId="9" xfId="0" applyNumberFormat="1" applyFont="1" applyFill="1" applyBorder="1" applyAlignment="1">
      <alignment vertical="center"/>
    </xf>
    <xf numFmtId="164" fontId="4" fillId="8" borderId="9" xfId="0" applyNumberFormat="1" applyFont="1" applyFill="1" applyBorder="1" applyAlignment="1">
      <alignment vertical="center"/>
    </xf>
    <xf numFmtId="4" fontId="4" fillId="5" borderId="10" xfId="0" applyNumberFormat="1" applyFont="1" applyFill="1" applyBorder="1" applyAlignment="1">
      <alignment vertical="top"/>
    </xf>
    <xf numFmtId="164" fontId="4" fillId="7" borderId="10" xfId="0" applyNumberFormat="1" applyFont="1" applyFill="1" applyBorder="1" applyAlignment="1">
      <alignment vertical="top"/>
    </xf>
    <xf numFmtId="3" fontId="4" fillId="9" borderId="1" xfId="0" applyNumberFormat="1" applyFont="1" applyFill="1" applyBorder="1" applyAlignment="1">
      <alignment vertical="top"/>
    </xf>
    <xf numFmtId="164" fontId="4" fillId="9" borderId="2" xfId="0" applyNumberFormat="1" applyFont="1" applyFill="1" applyBorder="1" applyAlignment="1">
      <alignment horizontal="right"/>
    </xf>
    <xf numFmtId="164" fontId="4" fillId="10" borderId="1" xfId="0" applyNumberFormat="1" applyFont="1" applyFill="1" applyBorder="1" applyAlignment="1">
      <alignment horizontal="right"/>
    </xf>
    <xf numFmtId="164" fontId="4" fillId="9" borderId="1" xfId="0" applyNumberFormat="1" applyFont="1" applyFill="1" applyBorder="1" applyAlignment="1">
      <alignment horizontal="right"/>
    </xf>
    <xf numFmtId="4" fontId="4" fillId="5" borderId="1" xfId="0" applyNumberFormat="1" applyFont="1" applyFill="1" applyBorder="1" applyAlignment="1">
      <alignment vertical="top"/>
    </xf>
    <xf numFmtId="164" fontId="4" fillId="9" borderId="10" xfId="0" applyNumberFormat="1" applyFont="1" applyFill="1" applyBorder="1" applyAlignment="1">
      <alignment horizontal="right"/>
    </xf>
    <xf numFmtId="0" fontId="12" fillId="0" borderId="0" xfId="0" applyFont="1" applyAlignment="1">
      <alignment vertical="top"/>
    </xf>
    <xf numFmtId="164" fontId="4" fillId="9" borderId="1" xfId="0" applyNumberFormat="1" applyFont="1" applyFill="1" applyBorder="1" applyAlignment="1">
      <alignment vertical="center"/>
    </xf>
    <xf numFmtId="164" fontId="4" fillId="10" borderId="1" xfId="0" applyNumberFormat="1" applyFont="1" applyFill="1" applyBorder="1" applyAlignment="1">
      <alignment vertical="center"/>
    </xf>
    <xf numFmtId="164" fontId="4" fillId="9" borderId="10" xfId="0" applyNumberFormat="1" applyFont="1" applyFill="1" applyBorder="1" applyAlignment="1">
      <alignment vertical="top"/>
    </xf>
    <xf numFmtId="0" fontId="13" fillId="8" borderId="11" xfId="0" applyFont="1" applyFill="1" applyBorder="1" applyAlignment="1">
      <alignment vertical="top"/>
    </xf>
    <xf numFmtId="0" fontId="14" fillId="8" borderId="12" xfId="0" applyFont="1" applyFill="1" applyBorder="1" applyAlignment="1">
      <alignment vertical="top"/>
    </xf>
    <xf numFmtId="0" fontId="15" fillId="8" borderId="1" xfId="0" applyFont="1" applyFill="1" applyBorder="1" applyAlignment="1">
      <alignment vertical="center" wrapText="1"/>
    </xf>
    <xf numFmtId="164" fontId="16" fillId="8" borderId="1" xfId="0" applyNumberFormat="1" applyFont="1" applyFill="1" applyBorder="1" applyAlignment="1">
      <alignment horizontal="left" vertical="center"/>
    </xf>
    <xf numFmtId="164" fontId="17" fillId="8" borderId="1" xfId="0" applyNumberFormat="1" applyFont="1" applyFill="1" applyBorder="1" applyAlignment="1">
      <alignment horizontal="left" vertical="center"/>
    </xf>
    <xf numFmtId="165" fontId="17" fillId="8" borderId="1" xfId="0" applyNumberFormat="1" applyFont="1" applyFill="1" applyBorder="1" applyAlignment="1">
      <alignment horizontal="left" vertical="center"/>
    </xf>
    <xf numFmtId="0" fontId="18" fillId="11" borderId="1" xfId="0" applyFont="1" applyFill="1" applyBorder="1" applyAlignment="1">
      <alignment horizontal="center" vertical="center"/>
    </xf>
    <xf numFmtId="0" fontId="0" fillId="0" borderId="13" xfId="0" applyBorder="1"/>
    <xf numFmtId="0" fontId="15" fillId="3" borderId="1" xfId="0" applyFont="1" applyFill="1" applyBorder="1" applyAlignment="1">
      <alignment vertical="center" wrapText="1"/>
    </xf>
    <xf numFmtId="166" fontId="16" fillId="3" borderId="1" xfId="0" applyNumberFormat="1" applyFont="1" applyFill="1" applyBorder="1" applyAlignment="1">
      <alignment horizontal="left" vertical="center"/>
    </xf>
    <xf numFmtId="166" fontId="16" fillId="8" borderId="1" xfId="0" applyNumberFormat="1" applyFont="1" applyFill="1" applyBorder="1" applyAlignment="1">
      <alignment horizontal="left" vertical="center"/>
    </xf>
    <xf numFmtId="166" fontId="17" fillId="6" borderId="1" xfId="0" applyNumberFormat="1" applyFont="1" applyFill="1" applyBorder="1" applyAlignment="1">
      <alignment horizontal="left" vertical="center"/>
    </xf>
    <xf numFmtId="166" fontId="16" fillId="6" borderId="1" xfId="0" applyNumberFormat="1" applyFont="1" applyFill="1" applyBorder="1" applyAlignment="1">
      <alignment horizontal="left" vertical="center"/>
    </xf>
    <xf numFmtId="166" fontId="17" fillId="8" borderId="1" xfId="0" applyNumberFormat="1" applyFont="1" applyFill="1" applyBorder="1" applyAlignment="1">
      <alignment horizontal="left" vertical="center"/>
    </xf>
    <xf numFmtId="165" fontId="16" fillId="8" borderId="1" xfId="0" applyNumberFormat="1" applyFont="1" applyFill="1" applyBorder="1" applyAlignment="1">
      <alignment horizontal="left" vertical="center"/>
    </xf>
    <xf numFmtId="0" fontId="15" fillId="0" borderId="0" xfId="0" applyFont="1" applyAlignment="1">
      <alignment vertical="center" wrapText="1"/>
    </xf>
    <xf numFmtId="166" fontId="16" fillId="0" borderId="0" xfId="0" applyNumberFormat="1" applyFont="1"/>
    <xf numFmtId="0" fontId="19" fillId="0" borderId="0" xfId="0" applyFont="1" applyAlignment="1">
      <alignment vertical="top" wrapText="1"/>
    </xf>
    <xf numFmtId="0" fontId="20" fillId="0" borderId="0" xfId="0" applyFont="1"/>
    <xf numFmtId="0" fontId="19" fillId="0" borderId="0" xfId="0" applyFont="1" applyAlignment="1">
      <alignment vertical="top" wrapText="1"/>
    </xf>
    <xf numFmtId="0" fontId="21" fillId="0" borderId="0" xfId="0" applyFont="1" applyAlignment="1">
      <alignment vertical="top" wrapText="1"/>
    </xf>
    <xf numFmtId="166" fontId="17" fillId="0" borderId="0" xfId="0" applyNumberFormat="1" applyFont="1"/>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ownloads/Twywell_Budget_2027-28_DRAFT%20(1).xlsx" TargetMode="External"/><Relationship Id="rId2" Type="http://schemas.openxmlformats.org/officeDocument/2006/relationships/externalLinkPath" Target="/Users/jamestotten/Downloads/Twywell_Budget_2027-28_DRAFT%20(1).xlsx" TargetMode="External"/><Relationship Id="rId1" Type="http://schemas.openxmlformats.org/officeDocument/2006/relationships/externalLinkPath" Target="/Users/jamestotten/Downloads/Twywell_Budget_2027-28_DRAFT%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anges 20 Oct 2026"/>
      <sheetName val="Changes 26 Oct 2026"/>
      <sheetName val="Council Budget"/>
      <sheetName val="Bank transactions"/>
      <sheetName val="Bank summary"/>
      <sheetName val="Reserve account"/>
      <sheetName val="Allotment rents"/>
    </sheetNames>
    <sheetDataSet>
      <sheetData sheetId="0"/>
      <sheetData sheetId="1"/>
      <sheetData sheetId="2"/>
      <sheetData sheetId="3">
        <row r="2">
          <cell r="A2">
            <v>45748</v>
          </cell>
          <cell r="D2">
            <v>8.4</v>
          </cell>
          <cell r="E2" t="str">
            <v>Allotment rent</v>
          </cell>
        </row>
        <row r="3">
          <cell r="A3">
            <v>45748</v>
          </cell>
          <cell r="D3">
            <v>9.8000000000000007</v>
          </cell>
          <cell r="E3" t="str">
            <v>Allotment rent</v>
          </cell>
        </row>
        <row r="4">
          <cell r="A4">
            <v>45749</v>
          </cell>
          <cell r="D4">
            <v>23.8</v>
          </cell>
          <cell r="E4" t="str">
            <v>Allotment rent</v>
          </cell>
        </row>
        <row r="5">
          <cell r="A5">
            <v>45749</v>
          </cell>
          <cell r="D5">
            <v>56</v>
          </cell>
          <cell r="E5" t="str">
            <v>Allotment rent</v>
          </cell>
        </row>
        <row r="6">
          <cell r="A6">
            <v>45750</v>
          </cell>
          <cell r="D6">
            <v>21</v>
          </cell>
          <cell r="E6" t="str">
            <v>Allotment rent</v>
          </cell>
        </row>
        <row r="7">
          <cell r="A7">
            <v>45750</v>
          </cell>
          <cell r="D7">
            <v>60.2</v>
          </cell>
          <cell r="E7" t="str">
            <v>Allotment rent</v>
          </cell>
        </row>
        <row r="8">
          <cell r="A8">
            <v>45754</v>
          </cell>
          <cell r="D8">
            <v>-40</v>
          </cell>
          <cell r="E8" t="str">
            <v>Meeting room hire</v>
          </cell>
        </row>
        <row r="9">
          <cell r="A9">
            <v>45754</v>
          </cell>
          <cell r="D9">
            <v>-960</v>
          </cell>
          <cell r="E9" t="str">
            <v>Solicitors - land registration</v>
          </cell>
        </row>
        <row r="10">
          <cell r="A10">
            <v>45754</v>
          </cell>
          <cell r="D10">
            <v>-40</v>
          </cell>
          <cell r="E10" t="str">
            <v>Meeting room hire</v>
          </cell>
        </row>
        <row r="11">
          <cell r="A11">
            <v>45754</v>
          </cell>
          <cell r="D11">
            <v>-40</v>
          </cell>
          <cell r="E11" t="str">
            <v>Meeting room hire</v>
          </cell>
        </row>
        <row r="12">
          <cell r="A12">
            <v>45755</v>
          </cell>
          <cell r="D12">
            <v>28</v>
          </cell>
          <cell r="E12" t="str">
            <v>Allotment rent</v>
          </cell>
        </row>
        <row r="13">
          <cell r="A13">
            <v>45756</v>
          </cell>
          <cell r="D13">
            <v>-12.87</v>
          </cell>
          <cell r="E13" t="str">
            <v>Public lighting electricity</v>
          </cell>
        </row>
        <row r="14">
          <cell r="A14">
            <v>45756</v>
          </cell>
          <cell r="D14">
            <v>-7.4</v>
          </cell>
          <cell r="E14" t="str">
            <v>Public lighting electricity</v>
          </cell>
        </row>
        <row r="15">
          <cell r="A15">
            <v>45756</v>
          </cell>
          <cell r="D15">
            <v>-38.340000000000003</v>
          </cell>
          <cell r="E15" t="str">
            <v>Public lighting electricity</v>
          </cell>
        </row>
        <row r="16">
          <cell r="A16">
            <v>45756</v>
          </cell>
          <cell r="D16">
            <v>56</v>
          </cell>
          <cell r="E16" t="str">
            <v>Allotment rent</v>
          </cell>
        </row>
        <row r="17">
          <cell r="A17">
            <v>45762</v>
          </cell>
          <cell r="D17">
            <v>-100</v>
          </cell>
          <cell r="E17" t="str">
            <v>Transfer (internal)</v>
          </cell>
        </row>
        <row r="18">
          <cell r="A18">
            <v>45762</v>
          </cell>
          <cell r="D18">
            <v>-18</v>
          </cell>
          <cell r="E18" t="str">
            <v>Payroll service (DCK)</v>
          </cell>
        </row>
        <row r="19">
          <cell r="A19">
            <v>45763</v>
          </cell>
          <cell r="D19">
            <v>1880.2</v>
          </cell>
          <cell r="E19" t="str">
            <v>Transfer (internal)</v>
          </cell>
        </row>
        <row r="20">
          <cell r="A20">
            <v>45764</v>
          </cell>
          <cell r="D20">
            <v>-1880.2</v>
          </cell>
          <cell r="E20" t="str">
            <v>Solicitors - land registration</v>
          </cell>
        </row>
        <row r="21">
          <cell r="A21">
            <v>45769</v>
          </cell>
          <cell r="D21">
            <v>-365.03</v>
          </cell>
          <cell r="E21" t="str">
            <v>HMRC PAYE / NI</v>
          </cell>
        </row>
        <row r="22">
          <cell r="A22">
            <v>45769</v>
          </cell>
          <cell r="D22">
            <v>-23.99</v>
          </cell>
          <cell r="E22" t="str">
            <v>Website &amp; internet costs</v>
          </cell>
        </row>
        <row r="23">
          <cell r="A23">
            <v>45769</v>
          </cell>
          <cell r="D23">
            <v>16743</v>
          </cell>
          <cell r="E23" t="str">
            <v>Precept (NNC Finance)</v>
          </cell>
        </row>
        <row r="24">
          <cell r="A24">
            <v>45772</v>
          </cell>
          <cell r="D24">
            <v>-946</v>
          </cell>
          <cell r="E24" t="str">
            <v>Clerk salary (net wages)</v>
          </cell>
        </row>
        <row r="25">
          <cell r="A25">
            <v>45775</v>
          </cell>
          <cell r="D25">
            <v>-1880.2</v>
          </cell>
          <cell r="E25" t="str">
            <v>Transfer (internal)</v>
          </cell>
        </row>
        <row r="26">
          <cell r="A26">
            <v>45775</v>
          </cell>
          <cell r="D26">
            <v>-1854</v>
          </cell>
          <cell r="E26" t="str">
            <v>Transfer (internal)</v>
          </cell>
        </row>
        <row r="27">
          <cell r="A27">
            <v>45775</v>
          </cell>
          <cell r="D27">
            <v>14</v>
          </cell>
          <cell r="E27" t="str">
            <v>Allotment rent</v>
          </cell>
        </row>
        <row r="28">
          <cell r="A28">
            <v>45775</v>
          </cell>
          <cell r="D28">
            <v>-20.99</v>
          </cell>
          <cell r="E28" t="str">
            <v>Website &amp; internet costs</v>
          </cell>
        </row>
        <row r="29">
          <cell r="A29">
            <v>45776</v>
          </cell>
          <cell r="D29">
            <v>-960</v>
          </cell>
          <cell r="E29" t="str">
            <v>Solicitors - land registration</v>
          </cell>
        </row>
        <row r="30">
          <cell r="A30">
            <v>45776</v>
          </cell>
          <cell r="D30">
            <v>56</v>
          </cell>
          <cell r="E30" t="str">
            <v>Allotment rent</v>
          </cell>
        </row>
        <row r="31">
          <cell r="A31">
            <v>45777</v>
          </cell>
          <cell r="D31">
            <v>-6</v>
          </cell>
          <cell r="E31" t="str">
            <v>Monthly banking charges</v>
          </cell>
        </row>
        <row r="32">
          <cell r="A32">
            <v>45777</v>
          </cell>
          <cell r="D32">
            <v>-355.88</v>
          </cell>
          <cell r="E32" t="str">
            <v>NCALC invoice - subs/internal audit (to confirm)</v>
          </cell>
        </row>
        <row r="33">
          <cell r="A33">
            <v>45789</v>
          </cell>
          <cell r="D33">
            <v>-12.41</v>
          </cell>
          <cell r="E33" t="str">
            <v>Public lighting electricity</v>
          </cell>
        </row>
        <row r="34">
          <cell r="A34">
            <v>45789</v>
          </cell>
          <cell r="D34">
            <v>-7.12</v>
          </cell>
          <cell r="E34" t="str">
            <v>Public lighting electricity</v>
          </cell>
        </row>
        <row r="35">
          <cell r="A35">
            <v>45789</v>
          </cell>
          <cell r="D35">
            <v>-33.97</v>
          </cell>
          <cell r="E35" t="str">
            <v>Public lighting electricity</v>
          </cell>
        </row>
        <row r="36">
          <cell r="A36">
            <v>45792</v>
          </cell>
          <cell r="D36">
            <v>-18</v>
          </cell>
          <cell r="E36" t="str">
            <v>Payroll service (DCK)</v>
          </cell>
        </row>
        <row r="37">
          <cell r="A37">
            <v>45796</v>
          </cell>
          <cell r="D37">
            <v>-77.400000000000006</v>
          </cell>
          <cell r="E37" t="str">
            <v>HMRC PAYE / NI</v>
          </cell>
        </row>
        <row r="38">
          <cell r="A38">
            <v>45796</v>
          </cell>
          <cell r="D38">
            <v>-23.99</v>
          </cell>
          <cell r="E38" t="str">
            <v>Website &amp; internet costs</v>
          </cell>
        </row>
        <row r="39">
          <cell r="A39">
            <v>45797</v>
          </cell>
          <cell r="D39">
            <v>1200</v>
          </cell>
          <cell r="E39" t="str">
            <v>NNC Finance - other (unidentified)</v>
          </cell>
        </row>
        <row r="40">
          <cell r="A40">
            <v>45804</v>
          </cell>
          <cell r="D40">
            <v>-314.51</v>
          </cell>
          <cell r="E40" t="str">
            <v>Clerk salary (net wages)</v>
          </cell>
        </row>
        <row r="41">
          <cell r="A41">
            <v>45804</v>
          </cell>
          <cell r="D41">
            <v>-20.99</v>
          </cell>
          <cell r="E41" t="str">
            <v>Website &amp; internet costs</v>
          </cell>
        </row>
        <row r="42">
          <cell r="A42">
            <v>45806</v>
          </cell>
          <cell r="D42">
            <v>9.8000000000000007</v>
          </cell>
          <cell r="E42" t="str">
            <v>Allotment rent</v>
          </cell>
        </row>
        <row r="43">
          <cell r="A43">
            <v>45808</v>
          </cell>
          <cell r="D43">
            <v>-6</v>
          </cell>
          <cell r="E43" t="str">
            <v>Monthly banking charges</v>
          </cell>
        </row>
        <row r="44">
          <cell r="A44">
            <v>45817</v>
          </cell>
          <cell r="D44">
            <v>-12.59</v>
          </cell>
          <cell r="E44" t="str">
            <v>Public lighting electricity</v>
          </cell>
        </row>
        <row r="45">
          <cell r="A45">
            <v>45817</v>
          </cell>
          <cell r="D45">
            <v>-7.35</v>
          </cell>
          <cell r="E45" t="str">
            <v>Public lighting electricity</v>
          </cell>
        </row>
        <row r="46">
          <cell r="A46">
            <v>45817</v>
          </cell>
          <cell r="D46">
            <v>-33.299999999999997</v>
          </cell>
          <cell r="E46" t="str">
            <v>Public lighting electricity</v>
          </cell>
        </row>
        <row r="47">
          <cell r="A47">
            <v>45824</v>
          </cell>
          <cell r="D47">
            <v>-18</v>
          </cell>
          <cell r="E47" t="str">
            <v>Payroll service (DCK)</v>
          </cell>
        </row>
        <row r="48">
          <cell r="A48">
            <v>45826</v>
          </cell>
          <cell r="D48">
            <v>-77.400000000000006</v>
          </cell>
          <cell r="E48" t="str">
            <v>HMRC PAYE / NI</v>
          </cell>
        </row>
        <row r="49">
          <cell r="A49">
            <v>45826</v>
          </cell>
          <cell r="D49">
            <v>-23.99</v>
          </cell>
          <cell r="E49" t="str">
            <v>Website &amp; internet costs</v>
          </cell>
        </row>
        <row r="50">
          <cell r="A50">
            <v>45833</v>
          </cell>
          <cell r="D50">
            <v>-314.51</v>
          </cell>
          <cell r="E50" t="str">
            <v>Clerk salary (net wages)</v>
          </cell>
        </row>
        <row r="51">
          <cell r="A51">
            <v>45835</v>
          </cell>
          <cell r="D51">
            <v>-20.99</v>
          </cell>
          <cell r="E51" t="str">
            <v>Website &amp; internet costs</v>
          </cell>
        </row>
        <row r="52">
          <cell r="A52">
            <v>45838</v>
          </cell>
          <cell r="D52">
            <v>-6</v>
          </cell>
          <cell r="E52" t="str">
            <v>Monthly banking charges</v>
          </cell>
        </row>
        <row r="53">
          <cell r="A53">
            <v>45845</v>
          </cell>
          <cell r="D53">
            <v>28</v>
          </cell>
          <cell r="E53" t="str">
            <v>Allotment rent</v>
          </cell>
        </row>
        <row r="54">
          <cell r="A54">
            <v>45847</v>
          </cell>
          <cell r="D54">
            <v>-12.31</v>
          </cell>
          <cell r="E54" t="str">
            <v>Public lighting electricity</v>
          </cell>
        </row>
        <row r="55">
          <cell r="A55">
            <v>45847</v>
          </cell>
          <cell r="D55">
            <v>-7.07</v>
          </cell>
          <cell r="E55" t="str">
            <v>Public lighting electricity</v>
          </cell>
        </row>
        <row r="56">
          <cell r="A56">
            <v>45847</v>
          </cell>
          <cell r="D56">
            <v>-30.74</v>
          </cell>
          <cell r="E56" t="str">
            <v>Public lighting electricity</v>
          </cell>
        </row>
        <row r="57">
          <cell r="A57">
            <v>45853</v>
          </cell>
          <cell r="D57">
            <v>-18</v>
          </cell>
          <cell r="E57" t="str">
            <v>Payroll service (DCK)</v>
          </cell>
        </row>
        <row r="58">
          <cell r="A58">
            <v>45856</v>
          </cell>
          <cell r="D58">
            <v>-77.400000000000006</v>
          </cell>
          <cell r="E58" t="str">
            <v>HMRC PAYE / NI</v>
          </cell>
        </row>
        <row r="59">
          <cell r="A59">
            <v>45856</v>
          </cell>
          <cell r="D59">
            <v>-23.99</v>
          </cell>
          <cell r="E59" t="str">
            <v>Website &amp; internet costs</v>
          </cell>
        </row>
        <row r="60">
          <cell r="A60">
            <v>45859</v>
          </cell>
          <cell r="D60">
            <v>-300</v>
          </cell>
          <cell r="E60" t="str">
            <v>Annual insurance</v>
          </cell>
        </row>
        <row r="61">
          <cell r="A61">
            <v>45863</v>
          </cell>
          <cell r="D61">
            <v>-314.51</v>
          </cell>
          <cell r="E61" t="str">
            <v>Clerk salary (net wages)</v>
          </cell>
        </row>
        <row r="62">
          <cell r="A62">
            <v>45866</v>
          </cell>
          <cell r="D62">
            <v>-20.99</v>
          </cell>
          <cell r="E62" t="str">
            <v>Website &amp; internet costs</v>
          </cell>
        </row>
        <row r="63">
          <cell r="A63">
            <v>45869</v>
          </cell>
          <cell r="D63">
            <v>-6</v>
          </cell>
          <cell r="E63" t="str">
            <v>Monthly banking charges</v>
          </cell>
        </row>
        <row r="64">
          <cell r="A64">
            <v>45880</v>
          </cell>
          <cell r="D64">
            <v>-12.77</v>
          </cell>
          <cell r="E64" t="str">
            <v>Public lighting electricity</v>
          </cell>
        </row>
        <row r="65">
          <cell r="A65">
            <v>45880</v>
          </cell>
          <cell r="D65">
            <v>-7.33</v>
          </cell>
          <cell r="E65" t="str">
            <v>Public lighting electricity</v>
          </cell>
        </row>
        <row r="66">
          <cell r="A66">
            <v>45880</v>
          </cell>
          <cell r="D66">
            <v>-31.63</v>
          </cell>
          <cell r="E66" t="str">
            <v>Public lighting electricity</v>
          </cell>
        </row>
        <row r="67">
          <cell r="A67">
            <v>45884</v>
          </cell>
          <cell r="D67">
            <v>-18</v>
          </cell>
          <cell r="E67" t="str">
            <v>Payroll service (DCK)</v>
          </cell>
        </row>
        <row r="68">
          <cell r="A68">
            <v>45887</v>
          </cell>
          <cell r="D68">
            <v>-77.400000000000006</v>
          </cell>
          <cell r="E68" t="str">
            <v>HMRC PAYE / NI</v>
          </cell>
        </row>
        <row r="69">
          <cell r="A69">
            <v>45887</v>
          </cell>
          <cell r="D69">
            <v>-23.99</v>
          </cell>
          <cell r="E69" t="str">
            <v>Website &amp; internet costs</v>
          </cell>
        </row>
        <row r="70">
          <cell r="A70">
            <v>45895</v>
          </cell>
          <cell r="D70">
            <v>-314.51</v>
          </cell>
          <cell r="E70" t="str">
            <v>Clerk salary (net wages)</v>
          </cell>
        </row>
        <row r="71">
          <cell r="A71">
            <v>45896</v>
          </cell>
          <cell r="D71">
            <v>-20.99</v>
          </cell>
          <cell r="E71" t="str">
            <v>Website &amp; internet costs</v>
          </cell>
        </row>
        <row r="72">
          <cell r="A72">
            <v>45900</v>
          </cell>
          <cell r="D72">
            <v>-6</v>
          </cell>
          <cell r="E72" t="str">
            <v>Monthly banking charges</v>
          </cell>
        </row>
        <row r="73">
          <cell r="A73">
            <v>45901</v>
          </cell>
          <cell r="D73">
            <v>90</v>
          </cell>
          <cell r="E73" t="str">
            <v>Allotment rent</v>
          </cell>
        </row>
        <row r="74">
          <cell r="A74">
            <v>45908</v>
          </cell>
          <cell r="D74">
            <v>-12.64</v>
          </cell>
          <cell r="E74" t="str">
            <v>Public lighting electricity</v>
          </cell>
        </row>
        <row r="75">
          <cell r="A75">
            <v>45908</v>
          </cell>
          <cell r="D75">
            <v>-7.33</v>
          </cell>
          <cell r="E75" t="str">
            <v>Public lighting electricity</v>
          </cell>
        </row>
        <row r="76">
          <cell r="A76">
            <v>45908</v>
          </cell>
          <cell r="D76">
            <v>-32.11</v>
          </cell>
          <cell r="E76" t="str">
            <v>Public lighting electricity</v>
          </cell>
        </row>
        <row r="77">
          <cell r="A77">
            <v>45915</v>
          </cell>
          <cell r="D77">
            <v>-18</v>
          </cell>
          <cell r="E77" t="str">
            <v>Payroll service (DCK)</v>
          </cell>
        </row>
        <row r="78">
          <cell r="A78">
            <v>45918</v>
          </cell>
          <cell r="D78">
            <v>-77.400000000000006</v>
          </cell>
          <cell r="E78" t="str">
            <v>HMRC PAYE / NI</v>
          </cell>
        </row>
        <row r="79">
          <cell r="A79">
            <v>45918</v>
          </cell>
          <cell r="D79">
            <v>-23.99</v>
          </cell>
          <cell r="E79" t="str">
            <v>Website &amp; internet costs</v>
          </cell>
        </row>
        <row r="80">
          <cell r="A80">
            <v>45925</v>
          </cell>
          <cell r="D80">
            <v>-314.51</v>
          </cell>
          <cell r="E80" t="str">
            <v>Clerk salary (net wages)</v>
          </cell>
        </row>
        <row r="81">
          <cell r="A81">
            <v>45929</v>
          </cell>
          <cell r="D81">
            <v>-20.99</v>
          </cell>
          <cell r="E81" t="str">
            <v>Website &amp; internet costs</v>
          </cell>
        </row>
        <row r="82">
          <cell r="A82">
            <v>45930</v>
          </cell>
          <cell r="D82">
            <v>-6</v>
          </cell>
          <cell r="E82" t="str">
            <v>Monthly banking charges</v>
          </cell>
        </row>
        <row r="83">
          <cell r="A83">
            <v>45931</v>
          </cell>
          <cell r="D83">
            <v>-9.3000000000000007</v>
          </cell>
          <cell r="E83" t="str">
            <v>Public lighting electricity</v>
          </cell>
        </row>
        <row r="84">
          <cell r="A84">
            <v>45931</v>
          </cell>
          <cell r="D84">
            <v>-5.45</v>
          </cell>
          <cell r="E84" t="str">
            <v>Public lighting electricity</v>
          </cell>
        </row>
        <row r="85">
          <cell r="A85">
            <v>45945</v>
          </cell>
          <cell r="D85">
            <v>-18</v>
          </cell>
          <cell r="E85" t="str">
            <v>Payroll service (DCK)</v>
          </cell>
        </row>
        <row r="86">
          <cell r="A86">
            <v>45947</v>
          </cell>
          <cell r="D86">
            <v>-35.04</v>
          </cell>
          <cell r="E86" t="str">
            <v>Public lighting electricity</v>
          </cell>
        </row>
        <row r="87">
          <cell r="A87">
            <v>45950</v>
          </cell>
          <cell r="D87">
            <v>28</v>
          </cell>
          <cell r="E87" t="str">
            <v>Allotment rent</v>
          </cell>
        </row>
        <row r="88">
          <cell r="A88">
            <v>45950</v>
          </cell>
          <cell r="D88">
            <v>-77.400000000000006</v>
          </cell>
          <cell r="E88" t="str">
            <v>HMRC PAYE / NI</v>
          </cell>
        </row>
        <row r="89">
          <cell r="A89">
            <v>45950</v>
          </cell>
          <cell r="D89">
            <v>-23.99</v>
          </cell>
          <cell r="E89" t="str">
            <v>Website &amp; internet costs</v>
          </cell>
        </row>
        <row r="90">
          <cell r="A90">
            <v>45950</v>
          </cell>
          <cell r="D90">
            <v>65</v>
          </cell>
          <cell r="E90" t="str">
            <v>Allotment rent</v>
          </cell>
        </row>
        <row r="91">
          <cell r="A91">
            <v>45951</v>
          </cell>
          <cell r="D91">
            <v>-324</v>
          </cell>
          <cell r="E91" t="str">
            <v>NCALC invoice - subs/internal audit (to confirm)</v>
          </cell>
        </row>
        <row r="92">
          <cell r="A92">
            <v>45957</v>
          </cell>
          <cell r="D92">
            <v>-263.10000000000002</v>
          </cell>
          <cell r="E92" t="str">
            <v>Clerk salary (net wages)</v>
          </cell>
        </row>
        <row r="93">
          <cell r="A93">
            <v>45957</v>
          </cell>
          <cell r="D93">
            <v>-20.99</v>
          </cell>
          <cell r="E93" t="str">
            <v>Website &amp; internet costs</v>
          </cell>
        </row>
        <row r="94">
          <cell r="A94">
            <v>45961</v>
          </cell>
          <cell r="D94">
            <v>-6</v>
          </cell>
          <cell r="E94" t="str">
            <v>Monthly banking charges</v>
          </cell>
        </row>
        <row r="95">
          <cell r="A95">
            <v>45964</v>
          </cell>
          <cell r="D95">
            <v>28</v>
          </cell>
          <cell r="E95" t="str">
            <v>Allotment rent</v>
          </cell>
        </row>
        <row r="96">
          <cell r="A96">
            <v>45966</v>
          </cell>
          <cell r="D96">
            <v>-40</v>
          </cell>
          <cell r="E96" t="str">
            <v>Meeting room hire</v>
          </cell>
        </row>
        <row r="97">
          <cell r="A97">
            <v>45966</v>
          </cell>
          <cell r="D97">
            <v>-40</v>
          </cell>
          <cell r="E97" t="str">
            <v>Meeting room hire</v>
          </cell>
        </row>
        <row r="98">
          <cell r="A98">
            <v>45966</v>
          </cell>
          <cell r="D98">
            <v>-40</v>
          </cell>
          <cell r="E98" t="str">
            <v>Meeting room hire</v>
          </cell>
        </row>
        <row r="99">
          <cell r="A99">
            <v>45966</v>
          </cell>
          <cell r="D99">
            <v>-40</v>
          </cell>
          <cell r="E99" t="str">
            <v>Meeting room hire</v>
          </cell>
        </row>
        <row r="100">
          <cell r="A100">
            <v>45966</v>
          </cell>
          <cell r="D100">
            <v>-40</v>
          </cell>
          <cell r="E100" t="str">
            <v>Meeting room hire</v>
          </cell>
        </row>
        <row r="101">
          <cell r="A101">
            <v>45971</v>
          </cell>
          <cell r="D101">
            <v>-45.85</v>
          </cell>
          <cell r="E101" t="str">
            <v>Public lighting electricity</v>
          </cell>
        </row>
        <row r="102">
          <cell r="A102">
            <v>45978</v>
          </cell>
          <cell r="D102">
            <v>-18</v>
          </cell>
          <cell r="E102" t="str">
            <v>Payroll service (DCK)</v>
          </cell>
        </row>
        <row r="103">
          <cell r="A103">
            <v>45979</v>
          </cell>
          <cell r="D103">
            <v>-77.400000000000006</v>
          </cell>
          <cell r="E103" t="str">
            <v>HMRC PAYE / NI</v>
          </cell>
        </row>
        <row r="104">
          <cell r="A104">
            <v>45979</v>
          </cell>
          <cell r="D104">
            <v>-23.99</v>
          </cell>
          <cell r="E104" t="str">
            <v>Website &amp; internet costs</v>
          </cell>
        </row>
        <row r="105">
          <cell r="A105">
            <v>45986</v>
          </cell>
          <cell r="D105">
            <v>-202</v>
          </cell>
          <cell r="E105" t="str">
            <v>Christmas tree</v>
          </cell>
        </row>
        <row r="106">
          <cell r="A106">
            <v>45986</v>
          </cell>
          <cell r="D106">
            <v>-191.47</v>
          </cell>
          <cell r="E106" t="str">
            <v>Clerk salary (net wages)</v>
          </cell>
        </row>
        <row r="107">
          <cell r="A107">
            <v>45988</v>
          </cell>
          <cell r="D107">
            <v>-20.99</v>
          </cell>
          <cell r="E107" t="str">
            <v>Website &amp; internet costs</v>
          </cell>
        </row>
        <row r="108">
          <cell r="A108">
            <v>45989</v>
          </cell>
          <cell r="D108">
            <v>-47</v>
          </cell>
          <cell r="E108" t="str">
            <v>Annual subscriptions (NCALC, ICO etc.)</v>
          </cell>
        </row>
        <row r="109">
          <cell r="A109">
            <v>45991</v>
          </cell>
          <cell r="D109">
            <v>-6</v>
          </cell>
          <cell r="E109" t="str">
            <v>Monthly banking charges</v>
          </cell>
        </row>
        <row r="110">
          <cell r="A110">
            <v>45995</v>
          </cell>
          <cell r="D110">
            <v>28.2</v>
          </cell>
          <cell r="E110" t="str">
            <v>Solicitors - refund of fees</v>
          </cell>
        </row>
        <row r="111">
          <cell r="A111">
            <v>45999</v>
          </cell>
          <cell r="D111">
            <v>-50.78</v>
          </cell>
          <cell r="E111" t="str">
            <v>Public lighting electricity</v>
          </cell>
        </row>
        <row r="112">
          <cell r="A112">
            <v>46006</v>
          </cell>
          <cell r="D112">
            <v>-18</v>
          </cell>
          <cell r="E112" t="str">
            <v>Payroll service (DCK)</v>
          </cell>
        </row>
        <row r="113">
          <cell r="A113">
            <v>46009</v>
          </cell>
          <cell r="D113">
            <v>-20</v>
          </cell>
          <cell r="E113" t="str">
            <v>Meeting room hire</v>
          </cell>
        </row>
        <row r="114">
          <cell r="A114">
            <v>46009</v>
          </cell>
          <cell r="D114">
            <v>-47.8</v>
          </cell>
          <cell r="E114" t="str">
            <v>HMRC PAYE / NI</v>
          </cell>
        </row>
        <row r="115">
          <cell r="A115">
            <v>46009</v>
          </cell>
          <cell r="D115">
            <v>-23.99</v>
          </cell>
          <cell r="E115" t="str">
            <v>Website &amp; internet costs</v>
          </cell>
        </row>
        <row r="116">
          <cell r="A116">
            <v>46020</v>
          </cell>
          <cell r="D116">
            <v>-191.27</v>
          </cell>
          <cell r="E116" t="str">
            <v>Clerk salary (net wages)</v>
          </cell>
        </row>
        <row r="117">
          <cell r="A117">
            <v>46020</v>
          </cell>
          <cell r="D117">
            <v>-20.99</v>
          </cell>
          <cell r="E117" t="str">
            <v>Website &amp; internet costs</v>
          </cell>
        </row>
        <row r="118">
          <cell r="A118">
            <v>46022</v>
          </cell>
          <cell r="D118">
            <v>-6</v>
          </cell>
          <cell r="E118" t="str">
            <v>Monthly banking charges</v>
          </cell>
        </row>
        <row r="119">
          <cell r="A119">
            <v>46024</v>
          </cell>
          <cell r="D119">
            <v>-40</v>
          </cell>
          <cell r="E119" t="str">
            <v>Meeting room hire</v>
          </cell>
        </row>
        <row r="120">
          <cell r="A120">
            <v>46031</v>
          </cell>
          <cell r="D120">
            <v>-56.43</v>
          </cell>
          <cell r="E120" t="str">
            <v>Public lighting electricity</v>
          </cell>
        </row>
        <row r="121">
          <cell r="A121">
            <v>46037</v>
          </cell>
          <cell r="D121">
            <v>-18</v>
          </cell>
          <cell r="E121" t="str">
            <v>Payroll service (DCK)</v>
          </cell>
        </row>
        <row r="122">
          <cell r="A122">
            <v>46041</v>
          </cell>
          <cell r="D122">
            <v>-47.8</v>
          </cell>
          <cell r="E122" t="str">
            <v>HMRC PAYE / NI</v>
          </cell>
        </row>
        <row r="123">
          <cell r="A123">
            <v>46041</v>
          </cell>
          <cell r="D123">
            <v>-23.99</v>
          </cell>
          <cell r="E123" t="str">
            <v>Website &amp; internet costs</v>
          </cell>
        </row>
        <row r="124">
          <cell r="A124">
            <v>46048</v>
          </cell>
          <cell r="D124">
            <v>-191.27</v>
          </cell>
          <cell r="E124" t="str">
            <v>Clerk salary (net wages)</v>
          </cell>
        </row>
        <row r="125">
          <cell r="A125">
            <v>46049</v>
          </cell>
          <cell r="D125">
            <v>-20.99</v>
          </cell>
          <cell r="E125" t="str">
            <v>Website &amp; internet costs</v>
          </cell>
        </row>
        <row r="126">
          <cell r="A126">
            <v>46051</v>
          </cell>
          <cell r="D126">
            <v>100</v>
          </cell>
          <cell r="E126" t="str">
            <v>Transfer (internal)</v>
          </cell>
        </row>
        <row r="127">
          <cell r="A127">
            <v>46053</v>
          </cell>
          <cell r="D127">
            <v>-6</v>
          </cell>
          <cell r="E127" t="str">
            <v>Monthly banking charges</v>
          </cell>
        </row>
        <row r="128">
          <cell r="A128">
            <v>46059</v>
          </cell>
          <cell r="D128">
            <v>-24.99</v>
          </cell>
          <cell r="E128" t="str">
            <v>Sundry / IT software</v>
          </cell>
        </row>
        <row r="129">
          <cell r="A129">
            <v>46059</v>
          </cell>
          <cell r="D129">
            <v>-40</v>
          </cell>
          <cell r="E129" t="str">
            <v>Meeting room hire</v>
          </cell>
        </row>
        <row r="130">
          <cell r="A130">
            <v>46062</v>
          </cell>
          <cell r="D130">
            <v>-1425.6</v>
          </cell>
          <cell r="E130" t="str">
            <v>Election costs</v>
          </cell>
        </row>
        <row r="131">
          <cell r="A131">
            <v>46062</v>
          </cell>
          <cell r="D131">
            <v>-1410</v>
          </cell>
          <cell r="E131" t="str">
            <v>Noticeboard (one-off)</v>
          </cell>
        </row>
        <row r="132">
          <cell r="A132">
            <v>46062</v>
          </cell>
          <cell r="D132">
            <v>-54.4</v>
          </cell>
          <cell r="E132" t="str">
            <v>Public lighting electricity</v>
          </cell>
        </row>
        <row r="133">
          <cell r="A133">
            <v>46064</v>
          </cell>
          <cell r="D133">
            <v>-1425.6</v>
          </cell>
          <cell r="E133" t="str">
            <v>Election costs</v>
          </cell>
        </row>
        <row r="134">
          <cell r="A134">
            <v>46069</v>
          </cell>
          <cell r="D134">
            <v>-18</v>
          </cell>
          <cell r="E134" t="str">
            <v>Payroll service (DCK)</v>
          </cell>
        </row>
        <row r="135">
          <cell r="A135">
            <v>46071</v>
          </cell>
          <cell r="D135">
            <v>-47.8</v>
          </cell>
          <cell r="E135" t="str">
            <v>HMRC PAYE / NI</v>
          </cell>
        </row>
        <row r="136">
          <cell r="A136">
            <v>46071</v>
          </cell>
          <cell r="D136">
            <v>-23.99</v>
          </cell>
          <cell r="E136" t="str">
            <v>Website &amp; internet costs</v>
          </cell>
        </row>
        <row r="137">
          <cell r="A137">
            <v>46072</v>
          </cell>
          <cell r="D137">
            <v>-100</v>
          </cell>
          <cell r="E137" t="str">
            <v>Allotment deposit refund</v>
          </cell>
        </row>
        <row r="138">
          <cell r="A138">
            <v>46078</v>
          </cell>
          <cell r="D138">
            <v>-191.47</v>
          </cell>
          <cell r="E138" t="str">
            <v>Clerk salary (net wages)</v>
          </cell>
        </row>
        <row r="139">
          <cell r="A139">
            <v>46080</v>
          </cell>
          <cell r="D139">
            <v>-20.99</v>
          </cell>
          <cell r="E139" t="str">
            <v>Website &amp; internet costs</v>
          </cell>
        </row>
        <row r="140">
          <cell r="A140">
            <v>46081</v>
          </cell>
          <cell r="D140">
            <v>-6</v>
          </cell>
          <cell r="E140" t="str">
            <v>Monthly banking charges</v>
          </cell>
        </row>
        <row r="141">
          <cell r="A141">
            <v>46083</v>
          </cell>
          <cell r="D141">
            <v>-702</v>
          </cell>
          <cell r="E141" t="str">
            <v>Hedge cutting</v>
          </cell>
        </row>
        <row r="142">
          <cell r="A142">
            <v>46090</v>
          </cell>
          <cell r="D142">
            <v>-43.8</v>
          </cell>
          <cell r="E142" t="str">
            <v>Public lighting electricity</v>
          </cell>
        </row>
        <row r="143">
          <cell r="A143">
            <v>46097</v>
          </cell>
          <cell r="D143">
            <v>-18</v>
          </cell>
          <cell r="E143" t="str">
            <v>Payroll service (DCK)</v>
          </cell>
        </row>
        <row r="144">
          <cell r="A144">
            <v>46099</v>
          </cell>
          <cell r="D144">
            <v>-23.99</v>
          </cell>
          <cell r="E144" t="str">
            <v>Website &amp; internet costs</v>
          </cell>
        </row>
        <row r="145">
          <cell r="A145">
            <v>46106</v>
          </cell>
          <cell r="D145">
            <v>-191.47</v>
          </cell>
          <cell r="E145" t="str">
            <v>Clerk salary (net wages)</v>
          </cell>
        </row>
        <row r="146">
          <cell r="A146">
            <v>46108</v>
          </cell>
          <cell r="D146">
            <v>16.8</v>
          </cell>
          <cell r="E146" t="str">
            <v>Allotment rent</v>
          </cell>
        </row>
        <row r="147">
          <cell r="A147">
            <v>46108</v>
          </cell>
          <cell r="D147">
            <v>-20.99</v>
          </cell>
          <cell r="E147" t="str">
            <v>Website &amp; internet costs</v>
          </cell>
        </row>
        <row r="148">
          <cell r="A148">
            <v>46111</v>
          </cell>
          <cell r="D148">
            <v>32.200000000000003</v>
          </cell>
          <cell r="E148" t="str">
            <v>Allotment rent</v>
          </cell>
        </row>
        <row r="149">
          <cell r="A149">
            <v>46111</v>
          </cell>
          <cell r="D149">
            <v>14</v>
          </cell>
          <cell r="E149" t="str">
            <v>Allotment rent</v>
          </cell>
        </row>
        <row r="150">
          <cell r="A150">
            <v>46111</v>
          </cell>
          <cell r="D150">
            <v>14</v>
          </cell>
          <cell r="E150" t="str">
            <v>Allotment rent</v>
          </cell>
        </row>
        <row r="151">
          <cell r="A151">
            <v>46111</v>
          </cell>
          <cell r="D151">
            <v>-63.6</v>
          </cell>
          <cell r="E151" t="str">
            <v>Course fees</v>
          </cell>
        </row>
        <row r="152">
          <cell r="A152">
            <v>46111</v>
          </cell>
          <cell r="D152">
            <v>67.2</v>
          </cell>
          <cell r="E152" t="str">
            <v>Allotment rent</v>
          </cell>
        </row>
        <row r="153">
          <cell r="A153">
            <v>46112</v>
          </cell>
          <cell r="D153">
            <v>-7</v>
          </cell>
          <cell r="E153" t="str">
            <v>Monthly banking charges</v>
          </cell>
        </row>
        <row r="154">
          <cell r="A154">
            <v>46112</v>
          </cell>
          <cell r="D154">
            <v>56</v>
          </cell>
          <cell r="E154" t="str">
            <v>Allotment rent</v>
          </cell>
        </row>
        <row r="155">
          <cell r="A155">
            <v>46112</v>
          </cell>
          <cell r="D155">
            <v>60.2</v>
          </cell>
          <cell r="E155" t="str">
            <v>Allotment rent</v>
          </cell>
        </row>
        <row r="156">
          <cell r="A156">
            <v>46113</v>
          </cell>
          <cell r="D156">
            <v>14</v>
          </cell>
          <cell r="E156" t="str">
            <v>Allotment rent</v>
          </cell>
        </row>
        <row r="157">
          <cell r="A157">
            <v>46113</v>
          </cell>
          <cell r="D157">
            <v>28</v>
          </cell>
          <cell r="E157" t="str">
            <v>Allotment rent</v>
          </cell>
        </row>
        <row r="158">
          <cell r="A158">
            <v>46114</v>
          </cell>
          <cell r="D158">
            <v>64.430000000000007</v>
          </cell>
          <cell r="E158" t="str">
            <v>Allotment rent</v>
          </cell>
        </row>
        <row r="159">
          <cell r="A159">
            <v>46114</v>
          </cell>
          <cell r="D159">
            <v>14</v>
          </cell>
          <cell r="E159" t="str">
            <v>Allotment rent</v>
          </cell>
        </row>
        <row r="160">
          <cell r="A160">
            <v>46119</v>
          </cell>
          <cell r="D160">
            <v>95.2</v>
          </cell>
          <cell r="E160" t="str">
            <v>Allotment rent</v>
          </cell>
        </row>
        <row r="161">
          <cell r="A161">
            <v>46119</v>
          </cell>
          <cell r="D161">
            <v>25.2</v>
          </cell>
          <cell r="E161" t="str">
            <v>Allotment rent</v>
          </cell>
        </row>
        <row r="162">
          <cell r="A162">
            <v>46119</v>
          </cell>
          <cell r="D162">
            <v>28</v>
          </cell>
          <cell r="E162" t="str">
            <v>Allotment rent</v>
          </cell>
        </row>
        <row r="163">
          <cell r="A163">
            <v>46119</v>
          </cell>
          <cell r="D163">
            <v>28</v>
          </cell>
          <cell r="E163" t="str">
            <v>Allotment rent</v>
          </cell>
        </row>
        <row r="164">
          <cell r="A164">
            <v>46119</v>
          </cell>
          <cell r="D164">
            <v>56</v>
          </cell>
          <cell r="E164" t="str">
            <v>Allotment rent</v>
          </cell>
        </row>
        <row r="165">
          <cell r="A165">
            <v>46120</v>
          </cell>
          <cell r="D165">
            <v>37.799999999999997</v>
          </cell>
          <cell r="E165" t="str">
            <v>Allotment rent</v>
          </cell>
        </row>
        <row r="166">
          <cell r="A166">
            <v>46121</v>
          </cell>
          <cell r="D166">
            <v>-40.99</v>
          </cell>
          <cell r="E166" t="str">
            <v>Public lighting electricity</v>
          </cell>
        </row>
        <row r="167">
          <cell r="A167">
            <v>46122</v>
          </cell>
          <cell r="D167">
            <v>48</v>
          </cell>
          <cell r="E167" t="str">
            <v>Allotment rent</v>
          </cell>
        </row>
        <row r="168">
          <cell r="A168">
            <v>46122</v>
          </cell>
          <cell r="D168">
            <v>1096.5</v>
          </cell>
          <cell r="E168" t="str">
            <v>VAT refund</v>
          </cell>
        </row>
        <row r="169">
          <cell r="A169">
            <v>46127</v>
          </cell>
          <cell r="D169">
            <v>-18</v>
          </cell>
          <cell r="E169" t="str">
            <v>Payroll service (DCK)</v>
          </cell>
        </row>
        <row r="170">
          <cell r="A170">
            <v>46129</v>
          </cell>
          <cell r="D170">
            <v>475.78</v>
          </cell>
          <cell r="E170" t="str">
            <v>VAT refund</v>
          </cell>
        </row>
        <row r="171">
          <cell r="A171">
            <v>46132</v>
          </cell>
          <cell r="D171">
            <v>-23.99</v>
          </cell>
          <cell r="E171" t="str">
            <v>Website &amp; internet costs</v>
          </cell>
        </row>
        <row r="172">
          <cell r="A172">
            <v>46133</v>
          </cell>
          <cell r="D172">
            <v>10002.56</v>
          </cell>
          <cell r="E172" t="str">
            <v>Precept (NNC Finance)</v>
          </cell>
        </row>
        <row r="173">
          <cell r="A173">
            <v>46139</v>
          </cell>
          <cell r="D173">
            <v>-191.47</v>
          </cell>
          <cell r="E173" t="str">
            <v>Clerk salary (net wages)</v>
          </cell>
        </row>
        <row r="174">
          <cell r="A174">
            <v>46139</v>
          </cell>
          <cell r="D174">
            <v>-20.99</v>
          </cell>
          <cell r="E174" t="str">
            <v>Website &amp; internet costs</v>
          </cell>
        </row>
        <row r="175">
          <cell r="A175">
            <v>46139</v>
          </cell>
          <cell r="D175">
            <v>14</v>
          </cell>
          <cell r="E175" t="str">
            <v>Allotment rent</v>
          </cell>
        </row>
        <row r="176">
          <cell r="A176">
            <v>46142</v>
          </cell>
          <cell r="D176">
            <v>-7</v>
          </cell>
          <cell r="E176" t="str">
            <v>Monthly banking charges</v>
          </cell>
        </row>
        <row r="177">
          <cell r="A177">
            <v>46148</v>
          </cell>
          <cell r="D177">
            <v>28</v>
          </cell>
          <cell r="E177" t="str">
            <v>Allotment rent</v>
          </cell>
        </row>
        <row r="178">
          <cell r="A178">
            <v>46150</v>
          </cell>
          <cell r="D178">
            <v>-32.68</v>
          </cell>
          <cell r="E178" t="str">
            <v>Public lighting electricity</v>
          </cell>
        </row>
        <row r="179">
          <cell r="A179">
            <v>46157</v>
          </cell>
          <cell r="D179">
            <v>-18</v>
          </cell>
          <cell r="E179" t="str">
            <v>Payroll service (DCK)</v>
          </cell>
        </row>
        <row r="180">
          <cell r="A180">
            <v>46157</v>
          </cell>
          <cell r="D180">
            <v>1425.6</v>
          </cell>
          <cell r="E180" t="str">
            <v>Election costs - refund of duplicate payment</v>
          </cell>
        </row>
        <row r="181">
          <cell r="A181">
            <v>46160</v>
          </cell>
          <cell r="D181">
            <v>-486.22</v>
          </cell>
          <cell r="E181" t="str">
            <v>Annual subscriptions (NCALC, ICO etc.)</v>
          </cell>
        </row>
        <row r="182">
          <cell r="A182">
            <v>46160</v>
          </cell>
          <cell r="D182">
            <v>-98.34</v>
          </cell>
          <cell r="E182" t="str">
            <v>Defibrillator</v>
          </cell>
        </row>
        <row r="183">
          <cell r="A183">
            <v>46160</v>
          </cell>
          <cell r="D183">
            <v>-23.99</v>
          </cell>
          <cell r="E183" t="str">
            <v>Website &amp; internet costs</v>
          </cell>
        </row>
        <row r="184">
          <cell r="A184">
            <v>46160</v>
          </cell>
          <cell r="D184">
            <v>30</v>
          </cell>
          <cell r="E184" t="str">
            <v>Allotment rent</v>
          </cell>
        </row>
        <row r="185">
          <cell r="A185">
            <v>46168</v>
          </cell>
          <cell r="D185">
            <v>-191.47</v>
          </cell>
          <cell r="E185" t="str">
            <v>Clerk salary (net wages)</v>
          </cell>
        </row>
        <row r="186">
          <cell r="A186">
            <v>46169</v>
          </cell>
          <cell r="D186">
            <v>-20.99</v>
          </cell>
          <cell r="E186" t="str">
            <v>Website &amp; internet costs</v>
          </cell>
        </row>
        <row r="187">
          <cell r="A187">
            <v>46173</v>
          </cell>
          <cell r="D187">
            <v>-7</v>
          </cell>
          <cell r="E187" t="str">
            <v>Monthly banking charges</v>
          </cell>
        </row>
        <row r="188">
          <cell r="A188">
            <v>46181</v>
          </cell>
          <cell r="D188">
            <v>-28.8</v>
          </cell>
          <cell r="E188" t="str">
            <v>Public lighting electricity</v>
          </cell>
        </row>
        <row r="189">
          <cell r="A189">
            <v>46188</v>
          </cell>
          <cell r="D189">
            <v>-18</v>
          </cell>
          <cell r="E189" t="str">
            <v>Payroll service (DCK)</v>
          </cell>
        </row>
        <row r="190">
          <cell r="A190">
            <v>46191</v>
          </cell>
          <cell r="D190">
            <v>-23.99</v>
          </cell>
          <cell r="E190" t="str">
            <v>Website &amp; internet costs</v>
          </cell>
        </row>
        <row r="191">
          <cell r="A191">
            <v>46197</v>
          </cell>
          <cell r="D191">
            <v>-40</v>
          </cell>
          <cell r="E191" t="str">
            <v>Meeting room hire</v>
          </cell>
        </row>
        <row r="192">
          <cell r="A192">
            <v>46197</v>
          </cell>
          <cell r="D192">
            <v>-40</v>
          </cell>
          <cell r="E192" t="str">
            <v>Meeting room hire</v>
          </cell>
        </row>
        <row r="193">
          <cell r="A193">
            <v>46197</v>
          </cell>
          <cell r="D193">
            <v>-40</v>
          </cell>
          <cell r="E193" t="str">
            <v>Meeting room hire</v>
          </cell>
        </row>
        <row r="194">
          <cell r="A194">
            <v>46197</v>
          </cell>
          <cell r="D194">
            <v>-300</v>
          </cell>
          <cell r="E194" t="str">
            <v>Annual insurance</v>
          </cell>
        </row>
        <row r="195">
          <cell r="A195">
            <v>46198</v>
          </cell>
          <cell r="D195">
            <v>-191.47</v>
          </cell>
          <cell r="E195" t="str">
            <v>Clerk salary (net wages)</v>
          </cell>
        </row>
        <row r="196">
          <cell r="A196">
            <v>46202</v>
          </cell>
          <cell r="D196">
            <v>-20.99</v>
          </cell>
          <cell r="E196" t="str">
            <v>Website &amp; internet costs</v>
          </cell>
        </row>
        <row r="197">
          <cell r="A197">
            <v>46203</v>
          </cell>
          <cell r="D197">
            <v>-7</v>
          </cell>
          <cell r="E197" t="str">
            <v>Monthly banking charges</v>
          </cell>
        </row>
        <row r="198">
          <cell r="A198">
            <v>46211</v>
          </cell>
          <cell r="D198">
            <v>-24.91</v>
          </cell>
          <cell r="E198" t="str">
            <v>Public lighting electricity</v>
          </cell>
        </row>
        <row r="199">
          <cell r="A199">
            <v>46223</v>
          </cell>
          <cell r="D199">
            <v>-23.99</v>
          </cell>
          <cell r="E199" t="str">
            <v>Website &amp; internet costs</v>
          </cell>
        </row>
        <row r="200">
          <cell r="A200">
            <v>46230</v>
          </cell>
          <cell r="D200">
            <v>-20.99</v>
          </cell>
          <cell r="E200" t="str">
            <v>Website &amp; internet costs</v>
          </cell>
        </row>
        <row r="201">
          <cell r="A201">
            <v>46233</v>
          </cell>
          <cell r="D201">
            <v>-191.27</v>
          </cell>
          <cell r="E201" t="str">
            <v>Clerk salary (net wages)</v>
          </cell>
        </row>
        <row r="202">
          <cell r="A202">
            <v>46234</v>
          </cell>
          <cell r="D202">
            <v>-7</v>
          </cell>
          <cell r="E202" t="str">
            <v>Monthly banking charges</v>
          </cell>
        </row>
        <row r="203">
          <cell r="A203">
            <v>46244</v>
          </cell>
          <cell r="D203">
            <v>-26.92</v>
          </cell>
          <cell r="E203" t="str">
            <v>Public lighting electricity</v>
          </cell>
        </row>
        <row r="204">
          <cell r="A204">
            <v>46247</v>
          </cell>
          <cell r="D204">
            <v>-63.6</v>
          </cell>
          <cell r="E204" t="str">
            <v>Course fees</v>
          </cell>
        </row>
        <row r="205">
          <cell r="A205">
            <v>46252</v>
          </cell>
          <cell r="D205">
            <v>-23.99</v>
          </cell>
          <cell r="E205" t="str">
            <v>Website &amp; internet costs</v>
          </cell>
        </row>
        <row r="206">
          <cell r="A206">
            <v>46261</v>
          </cell>
          <cell r="D206">
            <v>-20.99</v>
          </cell>
          <cell r="E206" t="str">
            <v>Website &amp; internet costs</v>
          </cell>
        </row>
        <row r="207">
          <cell r="A207">
            <v>46265</v>
          </cell>
          <cell r="D207">
            <v>-7</v>
          </cell>
          <cell r="E207" t="str">
            <v>Monthly banking charges</v>
          </cell>
        </row>
        <row r="208">
          <cell r="A208">
            <v>46269</v>
          </cell>
          <cell r="D208">
            <v>-191.4</v>
          </cell>
          <cell r="E208" t="str">
            <v>HMRC PAYE / NI</v>
          </cell>
        </row>
        <row r="209">
          <cell r="A209">
            <v>46274</v>
          </cell>
          <cell r="D209">
            <v>-31.59</v>
          </cell>
          <cell r="E209" t="str">
            <v>Public lighting electricity</v>
          </cell>
        </row>
        <row r="210">
          <cell r="A210">
            <v>46283</v>
          </cell>
          <cell r="D210">
            <v>-23.99</v>
          </cell>
          <cell r="E210" t="str">
            <v>Website &amp; internet costs</v>
          </cell>
        </row>
        <row r="211">
          <cell r="A211">
            <v>46286</v>
          </cell>
          <cell r="D211">
            <v>-40</v>
          </cell>
          <cell r="E211" t="str">
            <v>Meeting room hire</v>
          </cell>
        </row>
        <row r="212">
          <cell r="A212">
            <v>46286</v>
          </cell>
          <cell r="D212">
            <v>-40</v>
          </cell>
          <cell r="E212" t="str">
            <v>Meeting room hire</v>
          </cell>
        </row>
        <row r="213">
          <cell r="A213">
            <v>46293</v>
          </cell>
          <cell r="D213">
            <v>-20.99</v>
          </cell>
          <cell r="E213" t="str">
            <v>Website &amp; internet costs</v>
          </cell>
        </row>
        <row r="214">
          <cell r="A214">
            <v>46295</v>
          </cell>
          <cell r="D214">
            <v>-7</v>
          </cell>
          <cell r="E214" t="str">
            <v>Monthly banking charges</v>
          </cell>
        </row>
        <row r="215">
          <cell r="A215">
            <v>46303</v>
          </cell>
          <cell r="D215">
            <v>-36.799999999999997</v>
          </cell>
          <cell r="E215" t="str">
            <v>Public lighting electricity</v>
          </cell>
        </row>
      </sheetData>
      <sheetData sheetId="4">
        <row r="3">
          <cell r="B3">
            <v>46113</v>
          </cell>
        </row>
        <row r="4">
          <cell r="B4">
            <v>46295</v>
          </cell>
        </row>
      </sheetData>
      <sheetData sheetId="5">
        <row r="2">
          <cell r="A2">
            <v>46203</v>
          </cell>
          <cell r="C2">
            <v>21.02</v>
          </cell>
        </row>
        <row r="3">
          <cell r="A3">
            <v>46295</v>
          </cell>
          <cell r="C3">
            <v>21.35</v>
          </cell>
        </row>
      </sheetData>
      <sheetData sheetId="6">
        <row r="37">
          <cell r="D37">
            <v>972.8</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03C81-0F43-E34F-AD18-3DBE92D52F74}">
  <dimension ref="B2:L117"/>
  <sheetViews>
    <sheetView tabSelected="1" workbookViewId="0">
      <selection sqref="A1:XFD1048576"/>
    </sheetView>
  </sheetViews>
  <sheetFormatPr baseColWidth="10" defaultColWidth="7.33203125" defaultRowHeight="16" x14ac:dyDescent="0.2"/>
  <cols>
    <col min="1" max="1" width="4.83203125" customWidth="1"/>
    <col min="2" max="2" width="48.5" customWidth="1"/>
    <col min="3" max="3" width="10.83203125" customWidth="1"/>
    <col min="4" max="4" width="9" customWidth="1"/>
    <col min="5" max="5" width="10.33203125" customWidth="1"/>
    <col min="6" max="6" width="10.1640625" customWidth="1"/>
    <col min="7" max="7" width="11" customWidth="1"/>
    <col min="8" max="8" width="1.1640625" customWidth="1"/>
    <col min="9" max="9" width="0.6640625" customWidth="1"/>
    <col min="10" max="10" width="21.33203125" customWidth="1"/>
    <col min="11" max="11" width="78.33203125" customWidth="1"/>
    <col min="12" max="12" width="50" customWidth="1"/>
    <col min="13" max="13" width="11.83203125" customWidth="1"/>
  </cols>
  <sheetData>
    <row r="2" spans="2:12" ht="39" customHeight="1" x14ac:dyDescent="0.25">
      <c r="B2" s="1" t="s">
        <v>0</v>
      </c>
      <c r="E2" s="2" t="s">
        <v>1</v>
      </c>
      <c r="F2" s="3"/>
      <c r="G2" s="3"/>
      <c r="H2" s="3"/>
      <c r="I2" s="3"/>
      <c r="J2" s="3"/>
      <c r="K2" s="3"/>
      <c r="L2" s="4" t="s">
        <v>2</v>
      </c>
    </row>
    <row r="3" spans="2:12" ht="36" customHeight="1" x14ac:dyDescent="0.2">
      <c r="B3" s="5" t="s">
        <v>3</v>
      </c>
      <c r="E3" s="6" t="s">
        <v>4</v>
      </c>
      <c r="F3" s="7"/>
      <c r="G3" s="7"/>
      <c r="L3" s="8" t="s">
        <v>5</v>
      </c>
    </row>
    <row r="5" spans="2:12" ht="13.5" customHeight="1" thickBot="1" x14ac:dyDescent="0.25">
      <c r="B5" s="9"/>
      <c r="C5" s="10" t="s">
        <v>6</v>
      </c>
      <c r="D5" s="11" t="s">
        <v>7</v>
      </c>
      <c r="E5" s="12" t="s">
        <v>8</v>
      </c>
      <c r="F5" s="13"/>
      <c r="G5" s="10" t="s">
        <v>6</v>
      </c>
      <c r="H5" s="14"/>
      <c r="I5" s="14"/>
      <c r="J5" s="15" t="s">
        <v>9</v>
      </c>
      <c r="K5" s="16"/>
    </row>
    <row r="6" spans="2:12" ht="30" customHeight="1" x14ac:dyDescent="0.2">
      <c r="B6" s="17" t="s">
        <v>10</v>
      </c>
      <c r="C6" s="18" t="s">
        <v>11</v>
      </c>
      <c r="D6" s="11" t="s">
        <v>12</v>
      </c>
      <c r="E6" s="19" t="s">
        <v>13</v>
      </c>
      <c r="F6" s="19" t="s">
        <v>14</v>
      </c>
      <c r="G6" s="10" t="s">
        <v>15</v>
      </c>
      <c r="H6" s="20"/>
      <c r="J6" s="21" t="s">
        <v>16</v>
      </c>
      <c r="K6" s="22" t="s">
        <v>17</v>
      </c>
      <c r="L6" s="22" t="s">
        <v>18</v>
      </c>
    </row>
    <row r="7" spans="2:12" ht="81.75" customHeight="1" x14ac:dyDescent="0.2">
      <c r="B7" s="23" t="s">
        <v>19</v>
      </c>
      <c r="C7" s="24">
        <v>5465.62</v>
      </c>
      <c r="D7" s="25">
        <f>-SUMIFS('[1]Bank transactions'!$D$2:$D$215,'[1]Bank transactions'!$E$2:$E$215,"Clerk salary (net wages)",'[1]Bank transactions'!$A$2:$A$215,"&gt;="&amp;'[1]Bank summary'!$B$3,'[1]Bank transactions'!$A$2:$A$215,"&lt;="&amp;'[1]Bank summary'!$B$4)</f>
        <v>765.68</v>
      </c>
      <c r="E7" s="26">
        <v>0</v>
      </c>
      <c r="F7" s="26">
        <v>0</v>
      </c>
      <c r="G7" s="27">
        <f t="shared" ref="G7:G23" si="0">SUM(D7:F7)</f>
        <v>765.68</v>
      </c>
      <c r="H7" s="28"/>
      <c r="J7" s="29">
        <f>ROUND(3*52*18.96,2)</f>
        <v>2957.76</v>
      </c>
      <c r="K7" s="30" t="s">
        <v>20</v>
      </c>
      <c r="L7" s="31" t="s">
        <v>21</v>
      </c>
    </row>
    <row r="8" spans="2:12" ht="29.25" customHeight="1" x14ac:dyDescent="0.2">
      <c r="B8" s="23" t="s">
        <v>22</v>
      </c>
      <c r="C8" s="24">
        <v>274</v>
      </c>
      <c r="D8" s="25">
        <v>0</v>
      </c>
      <c r="E8" s="26">
        <v>0</v>
      </c>
      <c r="F8" s="26">
        <v>0</v>
      </c>
      <c r="G8" s="27">
        <f t="shared" si="0"/>
        <v>0</v>
      </c>
      <c r="H8" s="28"/>
      <c r="J8" s="32">
        <v>0</v>
      </c>
      <c r="K8" s="30" t="s">
        <v>23</v>
      </c>
      <c r="L8" s="31" t="s">
        <v>24</v>
      </c>
    </row>
    <row r="9" spans="2:12" ht="29.25" customHeight="1" x14ac:dyDescent="0.2">
      <c r="B9" s="23" t="s">
        <v>25</v>
      </c>
      <c r="C9" s="24">
        <v>60</v>
      </c>
      <c r="D9" s="25">
        <f>-SUMIFS('[1]Bank transactions'!$D$2:$D$215,'[1]Bank transactions'!$E$2:$E$215,"HMRC PAYE / NI",'[1]Bank transactions'!$A$2:$A$215,"&gt;="&amp;'[1]Bank summary'!$B$3,'[1]Bank transactions'!$A$2:$A$215,"&lt;="&amp;'[1]Bank summary'!$B$4)</f>
        <v>191.4</v>
      </c>
      <c r="E9" s="26">
        <v>0</v>
      </c>
      <c r="F9" s="26">
        <v>0</v>
      </c>
      <c r="G9" s="27">
        <f t="shared" si="0"/>
        <v>191.4</v>
      </c>
      <c r="H9" s="28"/>
      <c r="J9" s="32">
        <v>60</v>
      </c>
      <c r="K9" s="30" t="s">
        <v>26</v>
      </c>
      <c r="L9" s="31" t="s">
        <v>27</v>
      </c>
    </row>
    <row r="10" spans="2:12" ht="29.25" customHeight="1" x14ac:dyDescent="0.2">
      <c r="B10" s="23" t="s">
        <v>28</v>
      </c>
      <c r="C10" s="24">
        <v>480</v>
      </c>
      <c r="D10" s="25">
        <v>0</v>
      </c>
      <c r="E10" s="33">
        <v>20</v>
      </c>
      <c r="F10" s="33">
        <v>20</v>
      </c>
      <c r="G10" s="27">
        <f t="shared" si="0"/>
        <v>40</v>
      </c>
      <c r="H10" s="28"/>
      <c r="J10" s="34">
        <v>80</v>
      </c>
      <c r="K10" s="30" t="s">
        <v>29</v>
      </c>
      <c r="L10" s="31" t="s">
        <v>30</v>
      </c>
    </row>
    <row r="11" spans="2:12" ht="29.25" customHeight="1" x14ac:dyDescent="0.2">
      <c r="B11" s="23" t="s">
        <v>31</v>
      </c>
      <c r="C11" s="24">
        <v>500</v>
      </c>
      <c r="D11" s="25">
        <f>-SUMIFS('[1]Bank transactions'!$D$2:$D$215,'[1]Bank transactions'!$E$2:$E$215,"Course fees",'[1]Bank transactions'!$A$2:$A$215,"&gt;="&amp;'[1]Bank summary'!$B$3,'[1]Bank transactions'!$A$2:$A$215,"&lt;="&amp;'[1]Bank summary'!$B$4)</f>
        <v>63.6</v>
      </c>
      <c r="E11" s="26">
        <v>0</v>
      </c>
      <c r="F11" s="33">
        <f>200-D11-E11</f>
        <v>136.4</v>
      </c>
      <c r="G11" s="27">
        <f t="shared" si="0"/>
        <v>200</v>
      </c>
      <c r="H11" s="28"/>
      <c r="J11" s="29">
        <v>300</v>
      </c>
      <c r="K11" s="30" t="s">
        <v>32</v>
      </c>
      <c r="L11" s="31" t="s">
        <v>33</v>
      </c>
    </row>
    <row r="12" spans="2:12" ht="29.25" customHeight="1" x14ac:dyDescent="0.2">
      <c r="B12" s="23" t="s">
        <v>34</v>
      </c>
      <c r="C12" s="24">
        <v>726</v>
      </c>
      <c r="D12" s="25">
        <f>-SUMIFS('[1]Bank transactions'!$D$2:$D$215,'[1]Bank transactions'!$E$2:$E$215,"Website &amp; internet costs",'[1]Bank transactions'!$A$2:$A$215,"&gt;="&amp;'[1]Bank summary'!$B$3,'[1]Bank transactions'!$A$2:$A$215,"&lt;="&amp;'[1]Bank summary'!$B$4)</f>
        <v>269.88000000000005</v>
      </c>
      <c r="E12" s="26">
        <f>ROUND(3*(23.99+20.99),2)</f>
        <v>134.94</v>
      </c>
      <c r="F12" s="26">
        <f>ROUND(3*(23.99+20.99),2)</f>
        <v>134.94</v>
      </c>
      <c r="G12" s="27">
        <f t="shared" si="0"/>
        <v>539.76</v>
      </c>
      <c r="H12" s="28"/>
      <c r="J12" s="32">
        <v>540</v>
      </c>
      <c r="K12" s="30" t="s">
        <v>35</v>
      </c>
      <c r="L12" s="31" t="s">
        <v>36</v>
      </c>
    </row>
    <row r="13" spans="2:12" ht="42" customHeight="1" x14ac:dyDescent="0.2">
      <c r="B13" s="35" t="s">
        <v>37</v>
      </c>
      <c r="C13" s="24">
        <v>540.28</v>
      </c>
      <c r="D13" s="33">
        <f>-SUMIFS('[1]Bank transactions'!$D$2:$D$215,'[1]Bank transactions'!$E$2:$E$215,"NCALC invoice - subs/internal audit (to confirm)",'[1]Bank transactions'!$A$2:$A$215,"&gt;="&amp;'[1]Bank summary'!$B$3,'[1]Bank transactions'!$A$2:$A$215,"&lt;="&amp;'[1]Bank summary'!$B$4)+ROUND(240.24*1.2,2)</f>
        <v>288.29000000000002</v>
      </c>
      <c r="E13" s="33">
        <v>0</v>
      </c>
      <c r="F13" s="26">
        <v>0</v>
      </c>
      <c r="G13" s="27">
        <f t="shared" si="0"/>
        <v>288.29000000000002</v>
      </c>
      <c r="H13" s="28"/>
      <c r="J13" s="34">
        <v>0</v>
      </c>
      <c r="K13" s="36" t="s">
        <v>38</v>
      </c>
      <c r="L13" s="31" t="s">
        <v>39</v>
      </c>
    </row>
    <row r="14" spans="2:12" ht="42" customHeight="1" x14ac:dyDescent="0.2">
      <c r="B14" s="23" t="s">
        <v>40</v>
      </c>
      <c r="C14" s="24">
        <v>600</v>
      </c>
      <c r="D14" s="25">
        <f>-SUMIFS('[1]Bank transactions'!$D$2:$D$215,'[1]Bank transactions'!$E$2:$E$215,"Annual insurance",'[1]Bank transactions'!$A$2:$A$215,"&gt;="&amp;'[1]Bank summary'!$B$3,'[1]Bank transactions'!$A$2:$A$215,"&lt;="&amp;'[1]Bank summary'!$B$4)</f>
        <v>300</v>
      </c>
      <c r="E14" s="26">
        <v>0</v>
      </c>
      <c r="F14" s="26">
        <v>0</v>
      </c>
      <c r="G14" s="27">
        <f t="shared" si="0"/>
        <v>300</v>
      </c>
      <c r="H14" s="28"/>
      <c r="J14" s="29">
        <v>450</v>
      </c>
      <c r="K14" s="30" t="s">
        <v>41</v>
      </c>
      <c r="L14" s="31" t="s">
        <v>42</v>
      </c>
    </row>
    <row r="15" spans="2:12" ht="29.25" customHeight="1" x14ac:dyDescent="0.2">
      <c r="B15" s="23" t="s">
        <v>43</v>
      </c>
      <c r="C15" s="24">
        <v>102</v>
      </c>
      <c r="D15" s="25">
        <f>-SUMIFS('[1]Bank transactions'!$D$2:$D$215,'[1]Bank transactions'!$E$2:$E$215,"Monthly banking charges",'[1]Bank transactions'!$A$2:$A$215,"&gt;="&amp;'[1]Bank summary'!$B$3,'[1]Bank transactions'!$A$2:$A$215,"&lt;="&amp;'[1]Bank summary'!$B$4)</f>
        <v>42</v>
      </c>
      <c r="E15" s="26">
        <f>3*7</f>
        <v>21</v>
      </c>
      <c r="F15" s="26">
        <f>3*7</f>
        <v>21</v>
      </c>
      <c r="G15" s="27">
        <f t="shared" si="0"/>
        <v>84</v>
      </c>
      <c r="H15" s="28"/>
      <c r="J15" s="32">
        <f>12*7</f>
        <v>84</v>
      </c>
      <c r="K15" s="30" t="s">
        <v>44</v>
      </c>
      <c r="L15" s="31" t="s">
        <v>45</v>
      </c>
    </row>
    <row r="16" spans="2:12" ht="29.25" customHeight="1" x14ac:dyDescent="0.2">
      <c r="B16" s="23" t="s">
        <v>46</v>
      </c>
      <c r="C16" s="24">
        <v>525</v>
      </c>
      <c r="D16" s="33">
        <f>-SUMIFS('[1]Bank transactions'!$D$2:$D$215,'[1]Bank transactions'!$E$2:$E$215,"Annual subscriptions (NCALC, ICO etc.)",'[1]Bank transactions'!$A$2:$A$215,"&gt;="&amp;'[1]Bank summary'!$B$3,'[1]Bank transactions'!$A$2:$A$215,"&lt;="&amp;'[1]Bank summary'!$B$4)-ROUND(240.24*1.2,2)</f>
        <v>197.93</v>
      </c>
      <c r="E16" s="26">
        <v>47</v>
      </c>
      <c r="F16" s="26">
        <v>0</v>
      </c>
      <c r="G16" s="27">
        <f t="shared" si="0"/>
        <v>244.93</v>
      </c>
      <c r="H16" s="28"/>
      <c r="J16" s="29">
        <f>ROUND(486.22*1.05+47,0)</f>
        <v>558</v>
      </c>
      <c r="K16" s="36" t="s">
        <v>47</v>
      </c>
      <c r="L16" s="31" t="s">
        <v>48</v>
      </c>
    </row>
    <row r="17" spans="2:12" ht="27" customHeight="1" x14ac:dyDescent="0.2">
      <c r="B17" s="23" t="s">
        <v>49</v>
      </c>
      <c r="C17" s="24">
        <v>200</v>
      </c>
      <c r="D17" s="25">
        <f>-SUMIFS('[1]Bank transactions'!$D$2:$D$215,'[1]Bank transactions'!$E$2:$E$215,"Defibrillator",'[1]Bank transactions'!$A$2:$A$215,"&gt;="&amp;'[1]Bank summary'!$B$3,'[1]Bank transactions'!$A$2:$A$215,"&lt;="&amp;'[1]Bank summary'!$B$4)</f>
        <v>98.34</v>
      </c>
      <c r="E17" s="26">
        <v>0</v>
      </c>
      <c r="F17" s="26">
        <v>0</v>
      </c>
      <c r="G17" s="27">
        <f t="shared" si="0"/>
        <v>98.34</v>
      </c>
      <c r="H17" s="28"/>
      <c r="J17" s="32">
        <v>200</v>
      </c>
      <c r="K17" s="30" t="s">
        <v>50</v>
      </c>
      <c r="L17" s="31" t="s">
        <v>51</v>
      </c>
    </row>
    <row r="18" spans="2:12" ht="42" customHeight="1" x14ac:dyDescent="0.2">
      <c r="B18" s="23" t="s">
        <v>52</v>
      </c>
      <c r="C18" s="24">
        <v>400</v>
      </c>
      <c r="D18" s="25">
        <f>-SUMIFS('[1]Bank transactions'!$D$2:$D$215,'[1]Bank transactions'!$E$2:$E$215,"Election costs",'[1]Bank transactions'!$A$2:$A$215,"&gt;="&amp;'[1]Bank summary'!$B$3,'[1]Bank transactions'!$A$2:$A$215,"&lt;="&amp;'[1]Bank summary'!$B$4)</f>
        <v>0</v>
      </c>
      <c r="E18" s="26">
        <v>0</v>
      </c>
      <c r="F18" s="26">
        <v>0</v>
      </c>
      <c r="G18" s="27">
        <f t="shared" si="0"/>
        <v>0</v>
      </c>
      <c r="H18" s="28"/>
      <c r="J18" s="32">
        <v>400</v>
      </c>
      <c r="K18" s="30" t="s">
        <v>53</v>
      </c>
      <c r="L18" s="31" t="s">
        <v>54</v>
      </c>
    </row>
    <row r="19" spans="2:12" ht="27" customHeight="1" x14ac:dyDescent="0.2">
      <c r="B19" s="23" t="s">
        <v>55</v>
      </c>
      <c r="C19" s="24">
        <v>250</v>
      </c>
      <c r="D19" s="25">
        <f>-SUMIFS('[1]Bank transactions'!$D$2:$D$215,'[1]Bank transactions'!$E$2:$E$215,"Sundry / IT software",'[1]Bank transactions'!$A$2:$A$215,"&gt;="&amp;'[1]Bank summary'!$B$3,'[1]Bank transactions'!$A$2:$A$215,"&lt;="&amp;'[1]Bank summary'!$B$4)</f>
        <v>0</v>
      </c>
      <c r="E19" s="26">
        <v>0</v>
      </c>
      <c r="F19" s="26">
        <v>0</v>
      </c>
      <c r="G19" s="27">
        <f t="shared" si="0"/>
        <v>0</v>
      </c>
      <c r="H19" s="28"/>
      <c r="J19" s="32">
        <v>250</v>
      </c>
      <c r="K19" s="30" t="s">
        <v>56</v>
      </c>
      <c r="L19" s="31" t="s">
        <v>57</v>
      </c>
    </row>
    <row r="20" spans="2:12" ht="27" customHeight="1" x14ac:dyDescent="0.2">
      <c r="B20" s="23" t="s">
        <v>58</v>
      </c>
      <c r="C20" s="24">
        <v>25</v>
      </c>
      <c r="D20" s="25">
        <v>0</v>
      </c>
      <c r="E20" s="37">
        <v>25</v>
      </c>
      <c r="F20" s="26">
        <v>0</v>
      </c>
      <c r="G20" s="27">
        <f t="shared" si="0"/>
        <v>25</v>
      </c>
      <c r="H20" s="28"/>
      <c r="J20" s="32">
        <v>25</v>
      </c>
      <c r="K20" s="30" t="s">
        <v>59</v>
      </c>
      <c r="L20" s="31" t="s">
        <v>60</v>
      </c>
    </row>
    <row r="21" spans="2:12" ht="29.25" customHeight="1" x14ac:dyDescent="0.2">
      <c r="B21" s="23" t="s">
        <v>61</v>
      </c>
      <c r="C21" s="24">
        <v>0</v>
      </c>
      <c r="D21" s="25">
        <f>-SUMIFS('[1]Bank transactions'!$D$2:$D$215,'[1]Bank transactions'!$E$2:$E$215,"Payroll service (DCK)",'[1]Bank transactions'!$A$2:$A$215,"&gt;="&amp;'[1]Bank summary'!$B$3,'[1]Bank transactions'!$A$2:$A$215,"&lt;="&amp;'[1]Bank summary'!$B$4)</f>
        <v>54</v>
      </c>
      <c r="E21" s="26">
        <v>0</v>
      </c>
      <c r="F21" s="26">
        <v>0</v>
      </c>
      <c r="G21" s="27">
        <f t="shared" si="0"/>
        <v>54</v>
      </c>
      <c r="H21" s="28"/>
      <c r="J21" s="32">
        <v>0</v>
      </c>
      <c r="K21" s="30" t="s">
        <v>62</v>
      </c>
      <c r="L21" s="31" t="s">
        <v>63</v>
      </c>
    </row>
    <row r="22" spans="2:12" ht="55.5" customHeight="1" x14ac:dyDescent="0.2">
      <c r="B22" s="23" t="s">
        <v>64</v>
      </c>
      <c r="C22" s="24">
        <v>0</v>
      </c>
      <c r="D22" s="25">
        <f>-SUMIFS('[1]Bank transactions'!$D$2:$D$215,'[1]Bank transactions'!$E$2:$E$215,"Meeting room hire",'[1]Bank transactions'!$A$2:$A$215,"&gt;="&amp;'[1]Bank summary'!$B$3,'[1]Bank transactions'!$A$2:$A$215,"&lt;="&amp;'[1]Bank summary'!$B$4)</f>
        <v>200</v>
      </c>
      <c r="E22" s="33">
        <f>1*40</f>
        <v>40</v>
      </c>
      <c r="F22" s="33">
        <f>2*40</f>
        <v>80</v>
      </c>
      <c r="G22" s="27">
        <f t="shared" si="0"/>
        <v>320</v>
      </c>
      <c r="H22" s="28"/>
      <c r="J22" s="32">
        <f>12*20</f>
        <v>240</v>
      </c>
      <c r="K22" s="30" t="s">
        <v>65</v>
      </c>
      <c r="L22" s="31" t="s">
        <v>66</v>
      </c>
    </row>
    <row r="23" spans="2:12" ht="29.25" customHeight="1" x14ac:dyDescent="0.2">
      <c r="B23" s="23" t="s">
        <v>67</v>
      </c>
      <c r="C23" s="24">
        <v>0</v>
      </c>
      <c r="D23" s="25">
        <v>0</v>
      </c>
      <c r="E23" s="37">
        <v>0</v>
      </c>
      <c r="F23" s="37">
        <v>0</v>
      </c>
      <c r="G23" s="27">
        <f t="shared" si="0"/>
        <v>0</v>
      </c>
      <c r="H23" s="28"/>
      <c r="J23" s="29">
        <v>0</v>
      </c>
      <c r="K23" s="30" t="s">
        <v>68</v>
      </c>
      <c r="L23" s="31" t="s">
        <v>69</v>
      </c>
    </row>
    <row r="24" spans="2:12" ht="15" customHeight="1" thickBot="1" x14ac:dyDescent="0.25">
      <c r="B24" s="38" t="s">
        <v>70</v>
      </c>
      <c r="C24" s="39">
        <f>SUM(C7:C23)</f>
        <v>10147.9</v>
      </c>
      <c r="D24" s="40">
        <f>SUM(D7:D23)</f>
        <v>2471.12</v>
      </c>
      <c r="E24" s="39">
        <f>SUM(E7:E23)</f>
        <v>287.94</v>
      </c>
      <c r="F24" s="39">
        <f>SUM(F7:F23)</f>
        <v>392.34000000000003</v>
      </c>
      <c r="G24" s="39">
        <f>SUM(G7:G23)</f>
        <v>3151.4</v>
      </c>
      <c r="H24" s="41"/>
      <c r="J24" s="42">
        <f>SUM(J7:J23)</f>
        <v>6144.76</v>
      </c>
      <c r="K24" s="16"/>
    </row>
    <row r="25" spans="2:12" ht="13.5" customHeight="1" thickBot="1" x14ac:dyDescent="0.25">
      <c r="B25" s="9"/>
      <c r="C25" s="10" t="s">
        <v>6</v>
      </c>
      <c r="D25" s="11" t="s">
        <v>7</v>
      </c>
      <c r="E25" s="12" t="s">
        <v>8</v>
      </c>
      <c r="F25" s="13"/>
      <c r="G25" s="10" t="s">
        <v>6</v>
      </c>
      <c r="H25" s="14"/>
      <c r="I25" s="14"/>
      <c r="J25" s="15" t="s">
        <v>9</v>
      </c>
      <c r="K25" s="16"/>
    </row>
    <row r="26" spans="2:12" ht="30" customHeight="1" x14ac:dyDescent="0.2">
      <c r="B26" s="17" t="s">
        <v>71</v>
      </c>
      <c r="C26" s="18" t="s">
        <v>11</v>
      </c>
      <c r="D26" s="11" t="s">
        <v>12</v>
      </c>
      <c r="E26" s="19" t="s">
        <v>13</v>
      </c>
      <c r="F26" s="19" t="s">
        <v>14</v>
      </c>
      <c r="G26" s="10" t="s">
        <v>15</v>
      </c>
      <c r="H26" s="20"/>
      <c r="J26" s="21" t="s">
        <v>16</v>
      </c>
      <c r="K26" s="22" t="s">
        <v>17</v>
      </c>
      <c r="L26" s="22" t="s">
        <v>18</v>
      </c>
    </row>
    <row r="27" spans="2:12" ht="27" customHeight="1" x14ac:dyDescent="0.2">
      <c r="B27" s="23" t="s">
        <v>72</v>
      </c>
      <c r="C27" s="24">
        <v>200</v>
      </c>
      <c r="D27" s="25">
        <v>0</v>
      </c>
      <c r="E27" s="26">
        <v>0</v>
      </c>
      <c r="F27" s="26">
        <v>0</v>
      </c>
      <c r="G27" s="27">
        <f>SUM(D27:F27)</f>
        <v>0</v>
      </c>
      <c r="H27" s="28"/>
      <c r="J27" s="32">
        <v>200</v>
      </c>
      <c r="K27" s="30" t="s">
        <v>73</v>
      </c>
      <c r="L27" s="31" t="s">
        <v>74</v>
      </c>
    </row>
    <row r="28" spans="2:12" ht="15" customHeight="1" thickBot="1" x14ac:dyDescent="0.25">
      <c r="B28" s="38" t="s">
        <v>70</v>
      </c>
      <c r="C28" s="39">
        <f>SUM(C27:C27)</f>
        <v>200</v>
      </c>
      <c r="D28" s="40">
        <f>SUM(D27:D27)</f>
        <v>0</v>
      </c>
      <c r="E28" s="39">
        <f>SUM(E27:E27)</f>
        <v>0</v>
      </c>
      <c r="F28" s="39">
        <f>SUM(F27:F27)</f>
        <v>0</v>
      </c>
      <c r="G28" s="39">
        <f>SUM(G27:G27)</f>
        <v>0</v>
      </c>
      <c r="H28" s="41"/>
      <c r="J28" s="42">
        <f>SUM(J27:J27)</f>
        <v>200</v>
      </c>
      <c r="K28" s="16"/>
    </row>
    <row r="29" spans="2:12" ht="13.5" customHeight="1" thickBot="1" x14ac:dyDescent="0.25">
      <c r="B29" s="9"/>
      <c r="C29" s="10" t="s">
        <v>6</v>
      </c>
      <c r="D29" s="11" t="s">
        <v>7</v>
      </c>
      <c r="E29" s="12" t="s">
        <v>8</v>
      </c>
      <c r="F29" s="13"/>
      <c r="G29" s="10" t="s">
        <v>6</v>
      </c>
      <c r="H29" s="14"/>
      <c r="I29" s="14"/>
      <c r="J29" s="15" t="s">
        <v>9</v>
      </c>
      <c r="K29" s="16"/>
    </row>
    <row r="30" spans="2:12" ht="30" customHeight="1" x14ac:dyDescent="0.2">
      <c r="B30" s="17" t="s">
        <v>75</v>
      </c>
      <c r="C30" s="18" t="s">
        <v>11</v>
      </c>
      <c r="D30" s="11" t="s">
        <v>12</v>
      </c>
      <c r="E30" s="19" t="s">
        <v>13</v>
      </c>
      <c r="F30" s="19" t="s">
        <v>14</v>
      </c>
      <c r="G30" s="10" t="s">
        <v>15</v>
      </c>
      <c r="H30" s="20"/>
      <c r="J30" s="21" t="s">
        <v>16</v>
      </c>
      <c r="K30" s="22" t="s">
        <v>17</v>
      </c>
      <c r="L30" s="22" t="s">
        <v>18</v>
      </c>
    </row>
    <row r="31" spans="2:12" ht="29.25" customHeight="1" x14ac:dyDescent="0.2">
      <c r="B31" s="23" t="s">
        <v>76</v>
      </c>
      <c r="C31" s="24">
        <v>0</v>
      </c>
      <c r="D31" s="25">
        <f>-SUMIFS('[1]Bank transactions'!$D$2:$D$215,'[1]Bank transactions'!$E$2:$E$215,"Hedge cutting",'[1]Bank transactions'!$A$2:$A$215,"&gt;="&amp;'[1]Bank summary'!$B$3,'[1]Bank transactions'!$A$2:$A$215,"&lt;="&amp;'[1]Bank summary'!$B$4)</f>
        <v>0</v>
      </c>
      <c r="E31" s="26">
        <v>0</v>
      </c>
      <c r="F31" s="33">
        <v>1200</v>
      </c>
      <c r="G31" s="27">
        <f>SUM(D31:F31)</f>
        <v>1200</v>
      </c>
      <c r="H31" s="28"/>
      <c r="J31" s="34">
        <f>ROUND(1200*1.03,0)</f>
        <v>1236</v>
      </c>
      <c r="K31" s="30" t="s">
        <v>77</v>
      </c>
      <c r="L31" s="31" t="s">
        <v>78</v>
      </c>
    </row>
    <row r="32" spans="2:12" ht="29.25" customHeight="1" x14ac:dyDescent="0.2">
      <c r="B32" s="23" t="s">
        <v>79</v>
      </c>
      <c r="C32" s="24">
        <v>0</v>
      </c>
      <c r="D32" s="25">
        <f>-SUMIFS('[1]Bank transactions'!$D$2:$D$215,'[1]Bank transactions'!$E$2:$E$215,"Christmas tree",'[1]Bank transactions'!$A$2:$A$215,"&gt;="&amp;'[1]Bank summary'!$B$3,'[1]Bank transactions'!$A$2:$A$215,"&lt;="&amp;'[1]Bank summary'!$B$4)</f>
        <v>0</v>
      </c>
      <c r="E32" s="33">
        <v>250</v>
      </c>
      <c r="F32" s="26">
        <v>0</v>
      </c>
      <c r="G32" s="27">
        <f>SUM(D32:F32)</f>
        <v>250</v>
      </c>
      <c r="H32" s="28"/>
      <c r="J32" s="34">
        <f>ROUND(250*1.03,0)</f>
        <v>258</v>
      </c>
      <c r="K32" s="30" t="s">
        <v>80</v>
      </c>
      <c r="L32" s="31" t="s">
        <v>81</v>
      </c>
    </row>
    <row r="33" spans="2:12" ht="15" customHeight="1" thickBot="1" x14ac:dyDescent="0.25">
      <c r="B33" s="38" t="s">
        <v>70</v>
      </c>
      <c r="C33" s="39">
        <f>SUM(C31:C32)</f>
        <v>0</v>
      </c>
      <c r="D33" s="40">
        <f>SUM(D31:D32)</f>
        <v>0</v>
      </c>
      <c r="E33" s="39">
        <f>SUM(E31:E32)</f>
        <v>250</v>
      </c>
      <c r="F33" s="39">
        <f>SUM(F31:F32)</f>
        <v>1200</v>
      </c>
      <c r="G33" s="39">
        <f>SUM(G31:G32)</f>
        <v>1450</v>
      </c>
      <c r="H33" s="41"/>
      <c r="J33" s="42">
        <f>SUM(J31:J32)</f>
        <v>1494</v>
      </c>
      <c r="K33" s="16"/>
    </row>
    <row r="34" spans="2:12" ht="13.5" customHeight="1" thickBot="1" x14ac:dyDescent="0.25">
      <c r="B34" s="9"/>
      <c r="C34" s="10" t="s">
        <v>6</v>
      </c>
      <c r="D34" s="11" t="s">
        <v>7</v>
      </c>
      <c r="E34" s="12" t="s">
        <v>8</v>
      </c>
      <c r="F34" s="13"/>
      <c r="G34" s="10" t="s">
        <v>6</v>
      </c>
      <c r="H34" s="14"/>
      <c r="I34" s="14"/>
      <c r="J34" s="15" t="s">
        <v>9</v>
      </c>
      <c r="K34" s="16"/>
    </row>
    <row r="35" spans="2:12" ht="30" customHeight="1" x14ac:dyDescent="0.2">
      <c r="B35" s="17" t="s">
        <v>82</v>
      </c>
      <c r="C35" s="18" t="s">
        <v>11</v>
      </c>
      <c r="D35" s="11" t="s">
        <v>12</v>
      </c>
      <c r="E35" s="19" t="s">
        <v>13</v>
      </c>
      <c r="F35" s="19" t="s">
        <v>14</v>
      </c>
      <c r="G35" s="10" t="s">
        <v>15</v>
      </c>
      <c r="H35" s="20"/>
      <c r="J35" s="21" t="s">
        <v>16</v>
      </c>
      <c r="K35" s="22" t="s">
        <v>17</v>
      </c>
      <c r="L35" s="22" t="s">
        <v>18</v>
      </c>
    </row>
    <row r="36" spans="2:12" ht="42" customHeight="1" x14ac:dyDescent="0.2">
      <c r="B36" s="23" t="s">
        <v>83</v>
      </c>
      <c r="C36" s="24">
        <v>600</v>
      </c>
      <c r="D36" s="25">
        <f>-SUMIFS('[1]Bank transactions'!$D$2:$D$215,'[1]Bank transactions'!$E$2:$E$215,"Public lighting electricity",'[1]Bank transactions'!$A$2:$A$215,"&gt;="&amp;'[1]Bank summary'!$B$3,'[1]Bank transactions'!$A$2:$A$215,"&lt;="&amp;'[1]Bank summary'!$B$4)</f>
        <v>185.89000000000001</v>
      </c>
      <c r="E36" s="26">
        <f>36.8+45.85+50.78</f>
        <v>133.43</v>
      </c>
      <c r="F36" s="26">
        <f>56.43+54.4+43.8</f>
        <v>154.63</v>
      </c>
      <c r="G36" s="27">
        <f>SUM(D36:F36)</f>
        <v>473.95000000000005</v>
      </c>
      <c r="H36" s="28"/>
      <c r="J36" s="29">
        <v>520</v>
      </c>
      <c r="K36" s="30" t="s">
        <v>84</v>
      </c>
      <c r="L36" s="31" t="s">
        <v>85</v>
      </c>
    </row>
    <row r="37" spans="2:12" ht="15" customHeight="1" thickBot="1" x14ac:dyDescent="0.25">
      <c r="B37" s="38" t="s">
        <v>70</v>
      </c>
      <c r="C37" s="39">
        <f>SUM(C36:C36)</f>
        <v>600</v>
      </c>
      <c r="D37" s="40">
        <f>SUM(D36:D36)</f>
        <v>185.89000000000001</v>
      </c>
      <c r="E37" s="39">
        <f>SUM(E36:E36)</f>
        <v>133.43</v>
      </c>
      <c r="F37" s="39">
        <f>SUM(F36:F36)</f>
        <v>154.63</v>
      </c>
      <c r="G37" s="39">
        <f>SUM(G36:G36)</f>
        <v>473.95000000000005</v>
      </c>
      <c r="H37" s="41"/>
      <c r="J37" s="42">
        <f>SUM(J36:J36)</f>
        <v>520</v>
      </c>
      <c r="K37" s="16"/>
    </row>
    <row r="38" spans="2:12" ht="13.5" hidden="1" customHeight="1" x14ac:dyDescent="0.2">
      <c r="B38" s="9"/>
      <c r="C38" s="10" t="s">
        <v>6</v>
      </c>
      <c r="D38" s="11" t="s">
        <v>7</v>
      </c>
      <c r="E38" s="12" t="s">
        <v>8</v>
      </c>
      <c r="F38" s="13"/>
      <c r="G38" s="10" t="s">
        <v>6</v>
      </c>
      <c r="H38" s="14"/>
      <c r="I38" s="14"/>
      <c r="J38" s="15" t="s">
        <v>9</v>
      </c>
      <c r="K38" s="16"/>
    </row>
    <row r="39" spans="2:12" ht="30" hidden="1" customHeight="1" x14ac:dyDescent="0.2">
      <c r="B39" s="17" t="s">
        <v>86</v>
      </c>
      <c r="C39" s="18" t="s">
        <v>11</v>
      </c>
      <c r="D39" s="11" t="s">
        <v>12</v>
      </c>
      <c r="E39" s="19" t="s">
        <v>13</v>
      </c>
      <c r="F39" s="19" t="s">
        <v>14</v>
      </c>
      <c r="G39" s="10" t="s">
        <v>15</v>
      </c>
      <c r="H39" s="20"/>
      <c r="J39" s="21" t="s">
        <v>16</v>
      </c>
      <c r="K39" s="22" t="s">
        <v>17</v>
      </c>
      <c r="L39" s="22" t="s">
        <v>18</v>
      </c>
    </row>
    <row r="40" spans="2:12" ht="29.25" hidden="1" customHeight="1" x14ac:dyDescent="0.2">
      <c r="B40" s="23" t="s">
        <v>86</v>
      </c>
      <c r="C40" s="24">
        <v>0</v>
      </c>
      <c r="D40" s="25">
        <v>0</v>
      </c>
      <c r="E40" s="26">
        <v>0</v>
      </c>
      <c r="F40" s="37">
        <v>0</v>
      </c>
      <c r="G40" s="27">
        <f>SUM(D40:F40)</f>
        <v>0</v>
      </c>
      <c r="H40" s="28"/>
      <c r="J40" s="29">
        <v>0</v>
      </c>
      <c r="K40" s="30" t="s">
        <v>87</v>
      </c>
      <c r="L40" s="31"/>
    </row>
    <row r="41" spans="2:12" ht="15" hidden="1" customHeight="1" x14ac:dyDescent="0.2">
      <c r="B41" s="38" t="s">
        <v>70</v>
      </c>
      <c r="C41" s="39">
        <f>SUM(C40:C40)</f>
        <v>0</v>
      </c>
      <c r="D41" s="40">
        <f>SUM(D40:D40)</f>
        <v>0</v>
      </c>
      <c r="E41" s="39">
        <f>SUM(E40:E40)</f>
        <v>0</v>
      </c>
      <c r="F41" s="39">
        <f>SUM(F40:F40)</f>
        <v>0</v>
      </c>
      <c r="G41" s="39">
        <f>SUM(G40:G40)</f>
        <v>0</v>
      </c>
      <c r="H41" s="41"/>
      <c r="J41" s="42">
        <f>SUM(J40:J40)</f>
        <v>0</v>
      </c>
      <c r="K41" s="16"/>
    </row>
    <row r="42" spans="2:12" ht="13.5" customHeight="1" thickBot="1" x14ac:dyDescent="0.25">
      <c r="B42" s="9"/>
      <c r="C42" s="10" t="s">
        <v>6</v>
      </c>
      <c r="D42" s="11" t="s">
        <v>7</v>
      </c>
      <c r="E42" s="12" t="s">
        <v>8</v>
      </c>
      <c r="F42" s="13"/>
      <c r="G42" s="10" t="s">
        <v>6</v>
      </c>
      <c r="H42" s="14"/>
      <c r="I42" s="14"/>
      <c r="J42" s="15" t="s">
        <v>9</v>
      </c>
      <c r="K42" s="16"/>
    </row>
    <row r="43" spans="2:12" ht="30" customHeight="1" x14ac:dyDescent="0.2">
      <c r="B43" s="17" t="s">
        <v>88</v>
      </c>
      <c r="C43" s="18" t="s">
        <v>11</v>
      </c>
      <c r="D43" s="11" t="s">
        <v>12</v>
      </c>
      <c r="E43" s="19" t="s">
        <v>13</v>
      </c>
      <c r="F43" s="19" t="s">
        <v>14</v>
      </c>
      <c r="G43" s="10" t="s">
        <v>15</v>
      </c>
      <c r="H43" s="20"/>
      <c r="J43" s="21" t="s">
        <v>16</v>
      </c>
      <c r="K43" s="22" t="s">
        <v>17</v>
      </c>
      <c r="L43" s="22" t="s">
        <v>18</v>
      </c>
    </row>
    <row r="44" spans="2:12" ht="95.25" customHeight="1" x14ac:dyDescent="0.2">
      <c r="B44" s="23" t="s">
        <v>89</v>
      </c>
      <c r="C44" s="24">
        <v>0</v>
      </c>
      <c r="D44" s="25">
        <v>0</v>
      </c>
      <c r="E44" s="26">
        <v>0</v>
      </c>
      <c r="F44" s="26">
        <v>0</v>
      </c>
      <c r="G44" s="27">
        <f>SUM(D44:F44)</f>
        <v>0</v>
      </c>
      <c r="H44" s="28"/>
      <c r="J44" s="29">
        <f>ROUND((K71/2-K89)/3,0)</f>
        <v>304</v>
      </c>
      <c r="K44" s="30" t="s">
        <v>90</v>
      </c>
      <c r="L44" s="31" t="s">
        <v>91</v>
      </c>
    </row>
    <row r="45" spans="2:12" ht="15" customHeight="1" x14ac:dyDescent="0.2">
      <c r="B45" s="38" t="s">
        <v>70</v>
      </c>
      <c r="C45" s="39">
        <f>SUM(C44:C44)</f>
        <v>0</v>
      </c>
      <c r="D45" s="40">
        <f>SUM(D44:D44)</f>
        <v>0</v>
      </c>
      <c r="E45" s="39">
        <f>SUM(E44:E44)</f>
        <v>0</v>
      </c>
      <c r="F45" s="39">
        <f>SUM(F44:F44)</f>
        <v>0</v>
      </c>
      <c r="G45" s="39">
        <f>SUM(G44:G44)</f>
        <v>0</v>
      </c>
      <c r="H45" s="41"/>
      <c r="J45" s="42">
        <f>SUM(J44:J44)</f>
        <v>304</v>
      </c>
      <c r="K45" s="16"/>
    </row>
    <row r="47" spans="2:12" ht="15" customHeight="1" x14ac:dyDescent="0.2">
      <c r="B47" s="43" t="s">
        <v>92</v>
      </c>
      <c r="C47" s="44">
        <f>C24+C28+C33+C37+C41+C45</f>
        <v>10947.9</v>
      </c>
      <c r="D47" s="45">
        <f>D24+D28+D33+D37+D41+D45</f>
        <v>2657.0099999999998</v>
      </c>
      <c r="E47" s="46">
        <f>E24+E28+E33+E37+E41+E45</f>
        <v>671.37000000000012</v>
      </c>
      <c r="F47" s="46">
        <f>F24+F28+F33+F37+F41+F45</f>
        <v>1746.9700000000003</v>
      </c>
      <c r="G47" s="46">
        <f>G24+G28+G33+G37+G41+G45</f>
        <v>5075.3499999999995</v>
      </c>
      <c r="H47" s="47"/>
      <c r="J47" s="48">
        <f>J24+J28+J33+J37+J41+J45</f>
        <v>8662.76</v>
      </c>
      <c r="K47" s="16"/>
    </row>
    <row r="51" spans="2:12" ht="21.75" customHeight="1" x14ac:dyDescent="0.2">
      <c r="B51" s="49" t="s">
        <v>93</v>
      </c>
    </row>
    <row r="53" spans="2:12" ht="13.5" customHeight="1" thickBot="1" x14ac:dyDescent="0.25">
      <c r="B53" s="9"/>
      <c r="C53" s="10" t="s">
        <v>6</v>
      </c>
      <c r="D53" s="11" t="s">
        <v>7</v>
      </c>
      <c r="E53" s="12" t="s">
        <v>8</v>
      </c>
      <c r="F53" s="13"/>
      <c r="G53" s="10" t="s">
        <v>6</v>
      </c>
      <c r="H53" s="14"/>
      <c r="I53" s="14"/>
      <c r="J53" s="15" t="s">
        <v>9</v>
      </c>
      <c r="K53" s="16"/>
    </row>
    <row r="54" spans="2:12" ht="30" customHeight="1" x14ac:dyDescent="0.2">
      <c r="B54" s="17" t="s">
        <v>94</v>
      </c>
      <c r="C54" s="18" t="s">
        <v>11</v>
      </c>
      <c r="D54" s="11" t="s">
        <v>12</v>
      </c>
      <c r="E54" s="19" t="s">
        <v>13</v>
      </c>
      <c r="F54" s="19" t="s">
        <v>14</v>
      </c>
      <c r="G54" s="10" t="s">
        <v>15</v>
      </c>
      <c r="H54" s="20"/>
      <c r="J54" s="21" t="s">
        <v>16</v>
      </c>
      <c r="K54" s="22" t="s">
        <v>17</v>
      </c>
      <c r="L54" s="22" t="s">
        <v>18</v>
      </c>
    </row>
    <row r="55" spans="2:12" ht="42" customHeight="1" x14ac:dyDescent="0.2">
      <c r="B55" s="23" t="s">
        <v>95</v>
      </c>
      <c r="C55" s="24">
        <v>2950</v>
      </c>
      <c r="D55" s="25">
        <f>SUMIFS('[1]Bank transactions'!$D$2:$D$215,'[1]Bank transactions'!$E$2:$E$215,"VAT refund",'[1]Bank transactions'!$A$2:$A$215,"&gt;="&amp;'[1]Bank summary'!$B$3,'[1]Bank transactions'!$A$2:$A$215,"&lt;="&amp;'[1]Bank summary'!$B$4)</f>
        <v>1572.28</v>
      </c>
      <c r="E55" s="37">
        <f>ROUND((269.88+185.89+54+63.6+98.34)/6,2)</f>
        <v>111.95</v>
      </c>
      <c r="F55" s="26">
        <v>0</v>
      </c>
      <c r="G55" s="27">
        <f>SUM(D55:F55)</f>
        <v>1684.23</v>
      </c>
      <c r="H55" s="28"/>
      <c r="J55" s="29">
        <f>ROUND((J12+J36+J31+J21+J11+J17+J40+J32+J19+J27)/6,0)</f>
        <v>584</v>
      </c>
      <c r="K55" s="30" t="s">
        <v>96</v>
      </c>
      <c r="L55" s="31" t="s">
        <v>97</v>
      </c>
    </row>
    <row r="56" spans="2:12" ht="42" customHeight="1" x14ac:dyDescent="0.2">
      <c r="B56" s="23" t="s">
        <v>98</v>
      </c>
      <c r="C56" s="24">
        <v>70</v>
      </c>
      <c r="D56" s="25">
        <f>SUMIFS('[1]Reserve account'!$C$2:$C$3,'[1]Reserve account'!$A$2:$A$3,"&gt;="&amp;'[1]Bank summary'!$B$3,'[1]Reserve account'!$A$2:$A$3,"&lt;="&amp;'[1]Bank summary'!$B$4)</f>
        <v>42.370000000000005</v>
      </c>
      <c r="E56" s="26">
        <f>21.35</f>
        <v>21.35</v>
      </c>
      <c r="F56" s="26">
        <f>21.35</f>
        <v>21.35</v>
      </c>
      <c r="G56" s="27">
        <f>SUM(D56:F56)</f>
        <v>85.070000000000007</v>
      </c>
      <c r="H56" s="28"/>
      <c r="J56" s="32">
        <f>4*21.35</f>
        <v>85.4</v>
      </c>
      <c r="K56" s="30" t="s">
        <v>99</v>
      </c>
      <c r="L56" s="31" t="s">
        <v>100</v>
      </c>
    </row>
    <row r="57" spans="2:12" ht="55.5" customHeight="1" x14ac:dyDescent="0.2">
      <c r="B57" s="23" t="s">
        <v>101</v>
      </c>
      <c r="C57" s="24">
        <v>710</v>
      </c>
      <c r="D57" s="25">
        <f>SUMIFS('[1]Bank transactions'!$D$2:$D$215,'[1]Bank transactions'!$E$2:$E$215,"Allotment rent",'[1]Bank transactions'!$A$2:$A$215,"&gt;="&amp;'[1]Bank summary'!$B$3,'[1]Bank transactions'!$A$2:$A$215,"&lt;="&amp;'[1]Bank summary'!$B$4)</f>
        <v>510.63</v>
      </c>
      <c r="E57" s="37">
        <v>121</v>
      </c>
      <c r="F57" s="37">
        <v>260.39999999999998</v>
      </c>
      <c r="G57" s="27">
        <f>SUM(D57:F57)</f>
        <v>892.03</v>
      </c>
      <c r="H57" s="28"/>
      <c r="J57" s="29">
        <f>'[1]Allotment rents'!D37</f>
        <v>972.8</v>
      </c>
      <c r="K57" s="30" t="s">
        <v>102</v>
      </c>
      <c r="L57" s="31" t="s">
        <v>103</v>
      </c>
    </row>
    <row r="58" spans="2:12" ht="27" customHeight="1" x14ac:dyDescent="0.2">
      <c r="B58" s="23" t="s">
        <v>104</v>
      </c>
      <c r="C58" s="24">
        <v>0</v>
      </c>
      <c r="D58" s="25">
        <f>SUMIFS('[1]Bank transactions'!$D$2:$D$215,'[1]Bank transactions'!$E$2:$E$215,"Election costs - refund of duplicate payment",'[1]Bank transactions'!$A$2:$A$215,"&gt;="&amp;'[1]Bank summary'!$B$3,'[1]Bank transactions'!$A$2:$A$215,"&lt;="&amp;'[1]Bank summary'!$B$4)</f>
        <v>1425.6</v>
      </c>
      <c r="E58" s="26">
        <v>0</v>
      </c>
      <c r="F58" s="26">
        <v>0</v>
      </c>
      <c r="G58" s="27">
        <f>SUM(D58:F58)</f>
        <v>1425.6</v>
      </c>
      <c r="H58" s="28"/>
      <c r="J58" s="32">
        <v>0</v>
      </c>
      <c r="K58" s="30" t="s">
        <v>105</v>
      </c>
      <c r="L58" s="31" t="s">
        <v>106</v>
      </c>
    </row>
    <row r="59" spans="2:12" ht="29.25" customHeight="1" x14ac:dyDescent="0.2">
      <c r="B59" s="23" t="s">
        <v>107</v>
      </c>
      <c r="C59" s="24">
        <v>12400</v>
      </c>
      <c r="D59" s="25">
        <f>SUMIFS('[1]Bank transactions'!$D$2:$D$215,'[1]Bank transactions'!$E$2:$E$215,"Precept (NNC Finance)",'[1]Bank transactions'!$A$2:$A$215,"&gt;="&amp;'[1]Bank summary'!$B$3,'[1]Bank transactions'!$A$2:$A$215,"&lt;="&amp;'[1]Bank summary'!$B$4)</f>
        <v>10002.56</v>
      </c>
      <c r="E59" s="26">
        <v>0</v>
      </c>
      <c r="F59" s="26">
        <v>0</v>
      </c>
      <c r="G59" s="27">
        <f>SUM(D59:F59)</f>
        <v>10002.56</v>
      </c>
      <c r="H59" s="28"/>
      <c r="J59" s="29">
        <v>10002.56</v>
      </c>
      <c r="K59" s="30" t="s">
        <v>108</v>
      </c>
      <c r="L59" s="31" t="s">
        <v>109</v>
      </c>
    </row>
    <row r="60" spans="2:12" ht="15" customHeight="1" x14ac:dyDescent="0.2">
      <c r="B60" s="38" t="s">
        <v>70</v>
      </c>
      <c r="C60" s="39">
        <f>SUM(C55:C59)</f>
        <v>16130</v>
      </c>
      <c r="D60" s="40">
        <f>SUM(D55:D59)</f>
        <v>13553.439999999999</v>
      </c>
      <c r="E60" s="39">
        <f>SUM(E55:E59)</f>
        <v>254.3</v>
      </c>
      <c r="F60" s="39">
        <f>SUM(F55:F59)</f>
        <v>281.75</v>
      </c>
      <c r="G60" s="39">
        <f>SUM(G55:G59)</f>
        <v>14089.49</v>
      </c>
      <c r="H60" s="41"/>
      <c r="J60" s="42">
        <f>SUM(J55:J59)</f>
        <v>11644.759999999998</v>
      </c>
      <c r="K60" s="16"/>
    </row>
    <row r="62" spans="2:12" ht="15" customHeight="1" x14ac:dyDescent="0.2">
      <c r="B62" s="43" t="s">
        <v>110</v>
      </c>
      <c r="C62" s="50">
        <f>C60</f>
        <v>16130</v>
      </c>
      <c r="D62" s="51">
        <f>D60</f>
        <v>13553.439999999999</v>
      </c>
      <c r="E62" s="50">
        <f>E60</f>
        <v>254.3</v>
      </c>
      <c r="F62" s="50">
        <f>F60</f>
        <v>281.75</v>
      </c>
      <c r="G62" s="50">
        <f>G60</f>
        <v>14089.49</v>
      </c>
      <c r="H62" s="47"/>
      <c r="J62" s="52">
        <f>J60</f>
        <v>11644.759999999998</v>
      </c>
      <c r="K62" s="16"/>
    </row>
    <row r="65" spans="10:11" ht="18" customHeight="1" x14ac:dyDescent="0.2">
      <c r="J65" s="53" t="s">
        <v>111</v>
      </c>
      <c r="K65" s="54"/>
    </row>
    <row r="66" spans="10:11" ht="19.5" customHeight="1" x14ac:dyDescent="0.2">
      <c r="J66" s="55" t="s">
        <v>112</v>
      </c>
      <c r="K66" s="56">
        <f>J47</f>
        <v>8662.76</v>
      </c>
    </row>
    <row r="67" spans="10:11" ht="19.5" customHeight="1" x14ac:dyDescent="0.2">
      <c r="J67" s="55" t="s">
        <v>113</v>
      </c>
      <c r="K67" s="56">
        <f>J62</f>
        <v>11644.759999999998</v>
      </c>
    </row>
    <row r="68" spans="10:11" ht="30" customHeight="1" x14ac:dyDescent="0.2">
      <c r="J68" s="55" t="s">
        <v>114</v>
      </c>
      <c r="K68" s="57">
        <f>K67-K66</f>
        <v>2981.9999999999982</v>
      </c>
    </row>
    <row r="70" spans="10:11" ht="15" customHeight="1" x14ac:dyDescent="0.2">
      <c r="J70" s="53" t="s">
        <v>115</v>
      </c>
      <c r="K70" s="54"/>
    </row>
    <row r="71" spans="10:11" ht="30" customHeight="1" x14ac:dyDescent="0.2">
      <c r="J71" s="55" t="s">
        <v>116</v>
      </c>
      <c r="K71" s="56">
        <f>J24+J28+J33+J37+J41-J27</f>
        <v>8158.76</v>
      </c>
    </row>
    <row r="72" spans="10:11" ht="30" customHeight="1" x14ac:dyDescent="0.2">
      <c r="J72" s="55" t="s">
        <v>117</v>
      </c>
      <c r="K72" s="56">
        <f>J55+J56</f>
        <v>669.4</v>
      </c>
    </row>
    <row r="73" spans="10:11" ht="19.5" customHeight="1" x14ac:dyDescent="0.2">
      <c r="J73" s="55" t="s">
        <v>118</v>
      </c>
      <c r="K73" s="56">
        <f>K71-K72</f>
        <v>7489.3600000000006</v>
      </c>
    </row>
    <row r="74" spans="10:11" ht="30" customHeight="1" x14ac:dyDescent="0.2">
      <c r="J74" s="55" t="s">
        <v>89</v>
      </c>
      <c r="K74" s="56">
        <f>J44</f>
        <v>304</v>
      </c>
    </row>
    <row r="75" spans="10:11" ht="30" customHeight="1" x14ac:dyDescent="0.2">
      <c r="J75" s="55" t="s">
        <v>119</v>
      </c>
      <c r="K75" s="57">
        <f>K73+K74</f>
        <v>7793.3600000000006</v>
      </c>
    </row>
    <row r="76" spans="10:11" ht="19.5" customHeight="1" x14ac:dyDescent="0.2">
      <c r="J76" s="55" t="s">
        <v>120</v>
      </c>
      <c r="K76" s="56">
        <f>J59</f>
        <v>10002.56</v>
      </c>
    </row>
    <row r="77" spans="10:11" ht="30" customHeight="1" x14ac:dyDescent="0.2">
      <c r="J77" s="55" t="s">
        <v>121</v>
      </c>
      <c r="K77" s="57">
        <f>K76-K75</f>
        <v>2209.1999999999989</v>
      </c>
    </row>
    <row r="78" spans="10:11" ht="30" customHeight="1" x14ac:dyDescent="0.2">
      <c r="J78" s="55" t="s">
        <v>122</v>
      </c>
      <c r="K78" s="56">
        <f>J57-J27</f>
        <v>772.8</v>
      </c>
    </row>
    <row r="80" spans="10:11" ht="15" customHeight="1" x14ac:dyDescent="0.2">
      <c r="J80" s="53" t="s">
        <v>123</v>
      </c>
      <c r="K80" s="54"/>
    </row>
    <row r="81" spans="10:11" ht="30" customHeight="1" x14ac:dyDescent="0.2">
      <c r="J81" s="55" t="s">
        <v>124</v>
      </c>
      <c r="K81" s="56">
        <f>K71*3/12</f>
        <v>2039.6899999999998</v>
      </c>
    </row>
    <row r="82" spans="10:11" ht="30" customHeight="1" x14ac:dyDescent="0.2">
      <c r="J82" s="55" t="s">
        <v>125</v>
      </c>
      <c r="K82" s="56">
        <f>K71</f>
        <v>8158.76</v>
      </c>
    </row>
    <row r="83" spans="10:11" ht="19.5" customHeight="1" x14ac:dyDescent="0.2">
      <c r="J83" s="55" t="s">
        <v>126</v>
      </c>
      <c r="K83" s="58">
        <f>K89/(K71/12)</f>
        <v>4.6600905039491298</v>
      </c>
    </row>
    <row r="85" spans="10:11" ht="15" customHeight="1" x14ac:dyDescent="0.2">
      <c r="J85" s="59" t="s">
        <v>127</v>
      </c>
      <c r="K85" s="60"/>
    </row>
    <row r="86" spans="10:11" ht="19.5" customHeight="1" x14ac:dyDescent="0.2">
      <c r="J86" s="61" t="s">
        <v>128</v>
      </c>
      <c r="K86" s="62">
        <v>12996.06</v>
      </c>
    </row>
    <row r="87" spans="10:11" ht="19.5" customHeight="1" x14ac:dyDescent="0.2">
      <c r="J87" s="55" t="s">
        <v>129</v>
      </c>
      <c r="K87" s="63">
        <v>4365.1000000000004</v>
      </c>
    </row>
    <row r="88" spans="10:11" ht="30" customHeight="1" x14ac:dyDescent="0.2">
      <c r="J88" s="55" t="s">
        <v>130</v>
      </c>
      <c r="K88" s="63">
        <f>2202.79+4322.73</f>
        <v>6525.5199999999995</v>
      </c>
    </row>
    <row r="89" spans="10:11" ht="30" customHeight="1" x14ac:dyDescent="0.2">
      <c r="J89" s="55" t="s">
        <v>131</v>
      </c>
      <c r="K89" s="64">
        <f>6501.18-2700-632.8</f>
        <v>3168.38</v>
      </c>
    </row>
    <row r="90" spans="10:11" ht="19.5" customHeight="1" x14ac:dyDescent="0.2">
      <c r="J90" s="55" t="s">
        <v>132</v>
      </c>
      <c r="K90" s="65">
        <v>2700</v>
      </c>
    </row>
    <row r="91" spans="10:11" ht="19.5" customHeight="1" x14ac:dyDescent="0.2">
      <c r="J91" s="55" t="s">
        <v>133</v>
      </c>
      <c r="K91" s="65">
        <v>632.79999999999995</v>
      </c>
    </row>
    <row r="92" spans="10:11" ht="19.5" customHeight="1" x14ac:dyDescent="0.2">
      <c r="J92" s="55" t="s">
        <v>134</v>
      </c>
      <c r="K92" s="66">
        <f>SUM(K89:K91)</f>
        <v>6501.18</v>
      </c>
    </row>
    <row r="93" spans="10:11" ht="30" customHeight="1" x14ac:dyDescent="0.2">
      <c r="J93" s="55" t="s">
        <v>135</v>
      </c>
      <c r="K93" s="65">
        <f>C11-G11</f>
        <v>300</v>
      </c>
    </row>
    <row r="94" spans="10:11" ht="30" customHeight="1" x14ac:dyDescent="0.2">
      <c r="J94" s="61" t="s">
        <v>136</v>
      </c>
      <c r="K94" s="62">
        <v>0</v>
      </c>
    </row>
    <row r="95" spans="10:11" ht="30" customHeight="1" x14ac:dyDescent="0.2">
      <c r="J95" s="55" t="s">
        <v>137</v>
      </c>
      <c r="K95" s="65">
        <f>C7-G7</f>
        <v>4699.9399999999996</v>
      </c>
    </row>
    <row r="96" spans="10:11" ht="30" customHeight="1" x14ac:dyDescent="0.2">
      <c r="J96" s="55" t="s">
        <v>138</v>
      </c>
      <c r="K96" s="66">
        <f>K89+K93+K94+K95</f>
        <v>8168.32</v>
      </c>
    </row>
    <row r="97" spans="10:11" ht="19.5" customHeight="1" x14ac:dyDescent="0.2">
      <c r="J97" s="55" t="s">
        <v>139</v>
      </c>
      <c r="K97" s="67">
        <f>K96/(K71/12)</f>
        <v>12.014060960243958</v>
      </c>
    </row>
    <row r="98" spans="10:11" ht="30" customHeight="1" x14ac:dyDescent="0.2">
      <c r="J98" s="55" t="s">
        <v>140</v>
      </c>
      <c r="K98" s="63">
        <f>K96+3*J44</f>
        <v>9080.32</v>
      </c>
    </row>
    <row r="99" spans="10:11" ht="36" customHeight="1" x14ac:dyDescent="0.2">
      <c r="J99" s="68" t="s">
        <v>141</v>
      </c>
      <c r="K99" s="69">
        <f>C18-G18</f>
        <v>400</v>
      </c>
    </row>
    <row r="100" spans="10:11" ht="36" customHeight="1" x14ac:dyDescent="0.2">
      <c r="J100" s="70" t="s">
        <v>142</v>
      </c>
      <c r="K100" s="3"/>
    </row>
    <row r="101" spans="10:11" ht="36" customHeight="1" x14ac:dyDescent="0.2">
      <c r="J101" s="70" t="s">
        <v>143</v>
      </c>
      <c r="K101" s="3"/>
    </row>
    <row r="103" spans="10:11" x14ac:dyDescent="0.2">
      <c r="J103" s="71" t="s">
        <v>144</v>
      </c>
    </row>
    <row r="104" spans="10:11" ht="24" customHeight="1" x14ac:dyDescent="0.2">
      <c r="J104" s="72" t="s">
        <v>145</v>
      </c>
      <c r="K104" s="69">
        <v>13056.85</v>
      </c>
    </row>
    <row r="105" spans="10:11" ht="36" customHeight="1" x14ac:dyDescent="0.2">
      <c r="J105" s="72" t="s">
        <v>146</v>
      </c>
      <c r="K105" s="69">
        <f>E55+F55+E57+F57</f>
        <v>493.34999999999997</v>
      </c>
    </row>
    <row r="106" spans="10:11" ht="24" customHeight="1" x14ac:dyDescent="0.2">
      <c r="J106" s="72" t="s">
        <v>147</v>
      </c>
      <c r="K106" s="69">
        <f>-(E47+F47)</f>
        <v>-2418.34</v>
      </c>
    </row>
    <row r="107" spans="10:11" ht="24" customHeight="1" x14ac:dyDescent="0.2">
      <c r="J107" s="73" t="s">
        <v>148</v>
      </c>
      <c r="K107" s="74">
        <f>SUM(K104:K106)</f>
        <v>11131.86</v>
      </c>
    </row>
    <row r="108" spans="10:11" ht="24" customHeight="1" x14ac:dyDescent="0.2">
      <c r="J108" s="72" t="s">
        <v>149</v>
      </c>
      <c r="K108" s="69">
        <v>4365.1000000000004</v>
      </c>
    </row>
    <row r="109" spans="10:11" ht="15" customHeight="1" x14ac:dyDescent="0.2">
      <c r="J109" s="72" t="s">
        <v>150</v>
      </c>
      <c r="K109" s="69">
        <f>E56+F56</f>
        <v>42.7</v>
      </c>
    </row>
    <row r="110" spans="10:11" ht="24" customHeight="1" x14ac:dyDescent="0.2">
      <c r="J110" s="73" t="s">
        <v>151</v>
      </c>
      <c r="K110" s="74">
        <f>K108+K109</f>
        <v>4407.8</v>
      </c>
    </row>
    <row r="111" spans="10:11" ht="15" customHeight="1" x14ac:dyDescent="0.2">
      <c r="J111" s="73" t="s">
        <v>152</v>
      </c>
      <c r="K111" s="74">
        <f>K107+K110</f>
        <v>15539.66</v>
      </c>
    </row>
    <row r="112" spans="10:11" ht="36" customHeight="1" x14ac:dyDescent="0.2">
      <c r="J112" s="72" t="s">
        <v>153</v>
      </c>
      <c r="K112" s="69">
        <f>-K90</f>
        <v>-2700</v>
      </c>
    </row>
    <row r="113" spans="10:11" ht="24" customHeight="1" x14ac:dyDescent="0.2">
      <c r="J113" s="72" t="s">
        <v>154</v>
      </c>
      <c r="K113" s="69">
        <f>-K99</f>
        <v>-400</v>
      </c>
    </row>
    <row r="114" spans="10:11" ht="24" customHeight="1" x14ac:dyDescent="0.2">
      <c r="J114" s="72" t="s">
        <v>155</v>
      </c>
      <c r="K114" s="69">
        <f>-K91</f>
        <v>-632.79999999999995</v>
      </c>
    </row>
    <row r="115" spans="10:11" ht="24" customHeight="1" x14ac:dyDescent="0.2">
      <c r="J115" s="73" t="s">
        <v>156</v>
      </c>
      <c r="K115" s="74">
        <f>SUM(K111:K114)</f>
        <v>11806.86</v>
      </c>
    </row>
    <row r="116" spans="10:11" ht="24" customHeight="1" x14ac:dyDescent="0.2">
      <c r="J116" s="73" t="s">
        <v>157</v>
      </c>
      <c r="K116" s="74">
        <f>K90+K99</f>
        <v>3100</v>
      </c>
    </row>
    <row r="117" spans="10:11" ht="143" customHeight="1" x14ac:dyDescent="0.2">
      <c r="J117" s="75" t="s">
        <v>158</v>
      </c>
    </row>
  </sheetData>
  <mergeCells count="10">
    <mergeCell ref="E42:F42"/>
    <mergeCell ref="E53:F53"/>
    <mergeCell ref="J100:K100"/>
    <mergeCell ref="J101:K101"/>
    <mergeCell ref="E2:K2"/>
    <mergeCell ref="E5:F5"/>
    <mergeCell ref="E25:F25"/>
    <mergeCell ref="E29:F29"/>
    <mergeCell ref="E34:F34"/>
    <mergeCell ref="E38:F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Totten</dc:creator>
  <cp:lastModifiedBy>James Totten</cp:lastModifiedBy>
  <dcterms:created xsi:type="dcterms:W3CDTF">2026-11-02T19:59:27Z</dcterms:created>
  <dcterms:modified xsi:type="dcterms:W3CDTF">2026-11-02T20:40:33Z</dcterms:modified>
</cp:coreProperties>
</file>